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varaujo\Downloads\"/>
    </mc:Choice>
  </mc:AlternateContent>
  <xr:revisionPtr revIDLastSave="0" documentId="13_ncr:1_{273CD9BF-2F44-4425-A0FD-91C03E96EAD5}" xr6:coauthVersionLast="47" xr6:coauthVersionMax="47" xr10:uidLastSave="{00000000-0000-0000-0000-000000000000}"/>
  <bookViews>
    <workbookView xWindow="28680" yWindow="-120" windowWidth="29040" windowHeight="15720" tabRatio="818" activeTab="1" xr2:uid="{00000000-000D-0000-FFFF-FFFF00000000}"/>
  </bookViews>
  <sheets>
    <sheet name="INFORMATION" sheetId="10" r:id="rId1"/>
    <sheet name="Livestock" sheetId="15" r:id="rId2"/>
    <sheet name="Water Line" sheetId="12" r:id="rId3"/>
    <sheet name="Insecticides" sheetId="18" r:id="rId4"/>
    <sheet name="Rodenticides" sheetId="20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9" i="15" l="1"/>
  <c r="H39" i="15" s="1"/>
  <c r="F38" i="15"/>
  <c r="F37" i="15"/>
  <c r="E39" i="12"/>
  <c r="E40" i="12"/>
  <c r="H33" i="12"/>
  <c r="A42" i="20" l="1"/>
  <c r="E42" i="20" s="1"/>
  <c r="K42" i="20" s="1"/>
  <c r="N42" i="20" s="1"/>
  <c r="C30" i="20"/>
  <c r="A30" i="20"/>
  <c r="E48" i="20"/>
  <c r="K48" i="20" s="1"/>
  <c r="N48" i="20" s="1"/>
  <c r="H22" i="20"/>
  <c r="F22" i="20"/>
  <c r="H19" i="20"/>
  <c r="H10" i="20" s="1"/>
  <c r="F19" i="20"/>
  <c r="H9" i="20" s="1"/>
  <c r="B11" i="20"/>
  <c r="B10" i="20"/>
  <c r="B9" i="20"/>
  <c r="B8" i="20"/>
  <c r="B7" i="20"/>
  <c r="H6" i="20"/>
  <c r="B6" i="20"/>
  <c r="H5" i="20"/>
  <c r="G30" i="20" l="1"/>
  <c r="L30" i="20" s="1"/>
  <c r="A36" i="20" s="1"/>
  <c r="K36" i="20" s="1"/>
  <c r="N36" i="20" s="1"/>
  <c r="N51" i="20" s="1"/>
  <c r="H23" i="20"/>
  <c r="H7" i="20"/>
  <c r="H11" i="20"/>
  <c r="H21" i="20" s="1"/>
  <c r="H20" i="20"/>
  <c r="F55" i="20" l="1"/>
  <c r="D55" i="20"/>
  <c r="B55" i="20"/>
  <c r="G57" i="20"/>
  <c r="E57" i="20"/>
  <c r="C57" i="20"/>
  <c r="G54" i="20"/>
  <c r="E54" i="20"/>
  <c r="C54" i="20"/>
  <c r="F56" i="20"/>
  <c r="D56" i="20"/>
  <c r="B56" i="20"/>
  <c r="J25" i="12"/>
  <c r="H25" i="12"/>
  <c r="I25" i="12"/>
  <c r="H22" i="18" l="1"/>
  <c r="F22" i="18"/>
  <c r="H19" i="18"/>
  <c r="H10" i="18" s="1"/>
  <c r="F19" i="18"/>
  <c r="H9" i="18" s="1"/>
  <c r="H11" i="18" s="1"/>
  <c r="B11" i="18"/>
  <c r="L11" i="18" s="1"/>
  <c r="B10" i="18"/>
  <c r="L10" i="18" s="1"/>
  <c r="B9" i="18"/>
  <c r="L9" i="18" s="1"/>
  <c r="B8" i="18"/>
  <c r="L8" i="18" s="1"/>
  <c r="B7" i="18"/>
  <c r="L7" i="18" s="1"/>
  <c r="H6" i="18"/>
  <c r="B6" i="18"/>
  <c r="L6" i="18" s="1"/>
  <c r="H5" i="18"/>
  <c r="H7" i="18" l="1"/>
  <c r="H20" i="18"/>
  <c r="H23" i="18"/>
  <c r="H21" i="18"/>
  <c r="B9" i="12"/>
  <c r="B10" i="12"/>
  <c r="B11" i="12"/>
  <c r="B12" i="12"/>
  <c r="B13" i="12"/>
  <c r="B8" i="12"/>
  <c r="B6" i="15"/>
  <c r="L6" i="15" s="1"/>
  <c r="F40" i="15"/>
  <c r="H40" i="15" s="1"/>
  <c r="L39" i="15"/>
  <c r="H37" i="15"/>
  <c r="F36" i="15"/>
  <c r="F32" i="15"/>
  <c r="H32" i="15" s="1"/>
  <c r="M32" i="15" s="1"/>
  <c r="F30" i="15"/>
  <c r="L30" i="15" s="1"/>
  <c r="F29" i="15"/>
  <c r="L29" i="15" s="1"/>
  <c r="H22" i="15"/>
  <c r="F22" i="15"/>
  <c r="H19" i="15"/>
  <c r="F19" i="15"/>
  <c r="H9" i="15" s="1"/>
  <c r="K17" i="15"/>
  <c r="K16" i="15"/>
  <c r="K15" i="15"/>
  <c r="B11" i="15"/>
  <c r="L11" i="15" s="1"/>
  <c r="B10" i="15"/>
  <c r="L10" i="15" s="1"/>
  <c r="B9" i="15"/>
  <c r="L9" i="15" s="1"/>
  <c r="B8" i="15"/>
  <c r="L8" i="15" s="1"/>
  <c r="B7" i="15"/>
  <c r="L7" i="15" s="1"/>
  <c r="H6" i="15"/>
  <c r="H5" i="15"/>
  <c r="G25" i="12"/>
  <c r="F25" i="12"/>
  <c r="E25" i="12"/>
  <c r="D25" i="12"/>
  <c r="C25" i="12"/>
  <c r="B25" i="12"/>
  <c r="H28" i="18" l="1"/>
  <c r="H27" i="18"/>
  <c r="L36" i="15"/>
  <c r="H36" i="15"/>
  <c r="M36" i="15" s="1"/>
  <c r="N36" i="15" s="1"/>
  <c r="O36" i="15" s="1"/>
  <c r="Q36" i="15" s="1"/>
  <c r="M39" i="15"/>
  <c r="N39" i="15" s="1"/>
  <c r="O39" i="15" s="1"/>
  <c r="Q39" i="15" s="1"/>
  <c r="H29" i="15"/>
  <c r="M29" i="15" s="1"/>
  <c r="N29" i="15" s="1"/>
  <c r="O29" i="15" s="1"/>
  <c r="Q29" i="15" s="1"/>
  <c r="H30" i="15"/>
  <c r="M30" i="15" s="1"/>
  <c r="N30" i="15" s="1"/>
  <c r="O30" i="15" s="1"/>
  <c r="Q30" i="15" s="1"/>
  <c r="H11" i="15"/>
  <c r="H21" i="15" s="1"/>
  <c r="H20" i="15"/>
  <c r="L32" i="15"/>
  <c r="H10" i="15"/>
  <c r="H7" i="15"/>
  <c r="F33" i="15" s="1"/>
  <c r="H33" i="15" s="1"/>
  <c r="H23" i="15"/>
  <c r="F35" i="15" s="1"/>
  <c r="H35" i="15" s="1"/>
  <c r="G27" i="12"/>
  <c r="G31" i="12" s="1"/>
  <c r="N32" i="15"/>
  <c r="F34" i="15" l="1"/>
  <c r="F31" i="15"/>
  <c r="E42" i="12"/>
  <c r="E41" i="12"/>
  <c r="I41" i="12"/>
  <c r="I38" i="12"/>
  <c r="I39" i="12"/>
  <c r="G39" i="12" s="1"/>
  <c r="I37" i="12"/>
  <c r="I40" i="12"/>
  <c r="I42" i="12"/>
  <c r="G42" i="12" s="1"/>
  <c r="F28" i="15"/>
  <c r="L28" i="15" s="1"/>
  <c r="P36" i="15"/>
  <c r="R36" i="15" s="1"/>
  <c r="F27" i="15"/>
  <c r="L27" i="15" s="1"/>
  <c r="P39" i="15"/>
  <c r="R39" i="15" s="1"/>
  <c r="P29" i="15"/>
  <c r="R29" i="15" s="1"/>
  <c r="P30" i="15"/>
  <c r="R30" i="15" s="1"/>
  <c r="O32" i="15"/>
  <c r="Q32" i="15" s="1"/>
  <c r="E38" i="12"/>
  <c r="E37" i="12"/>
  <c r="H31" i="15" l="1"/>
  <c r="M31" i="15" s="1"/>
  <c r="L31" i="15"/>
  <c r="H34" i="15"/>
  <c r="M34" i="15" s="1"/>
  <c r="L34" i="15"/>
  <c r="G37" i="12"/>
  <c r="G38" i="12"/>
  <c r="G40" i="12"/>
  <c r="G41" i="12"/>
  <c r="H28" i="15"/>
  <c r="M28" i="15" s="1"/>
  <c r="N28" i="15" s="1"/>
  <c r="O28" i="15" s="1"/>
  <c r="Q28" i="15" s="1"/>
  <c r="H38" i="15"/>
  <c r="M38" i="15" s="1"/>
  <c r="L38" i="15"/>
  <c r="H27" i="15"/>
  <c r="M27" i="15" s="1"/>
  <c r="N27" i="15" s="1"/>
  <c r="O27" i="15" s="1"/>
  <c r="Q27" i="15" s="1"/>
  <c r="P32" i="15"/>
  <c r="R32" i="15" s="1"/>
  <c r="N34" i="15" l="1"/>
  <c r="O34" i="15" s="1"/>
  <c r="Q34" i="15" s="1"/>
  <c r="N31" i="15"/>
  <c r="P28" i="15"/>
  <c r="R28" i="15" s="1"/>
  <c r="N38" i="15"/>
  <c r="O38" i="15" s="1"/>
  <c r="Q38" i="15" s="1"/>
  <c r="P27" i="15"/>
  <c r="R27" i="15" s="1"/>
  <c r="P34" i="15" l="1"/>
  <c r="R34" i="15" s="1"/>
  <c r="O31" i="15"/>
  <c r="Q31" i="15" s="1"/>
  <c r="P38" i="15"/>
  <c r="R38" i="15" s="1"/>
  <c r="P31" i="15" l="1"/>
  <c r="R31" i="1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VAN WALLEGHEM Dave</author>
  </authors>
  <commentList>
    <comment ref="I30" authorId="0" shapeId="0" xr:uid="{00000000-0006-0000-0400-000001000000}">
      <text>
        <r>
          <rPr>
            <sz val="9"/>
            <color indexed="81"/>
            <rFont val="Tahoma"/>
            <charset val="1"/>
          </rPr>
          <t xml:space="preserve">It is recommended that Bait stations be placed 30-40 feet apart.
</t>
        </r>
      </text>
    </comment>
    <comment ref="C36" authorId="0" shapeId="0" xr:uid="{00000000-0006-0000-0400-000002000000}">
      <text>
        <r>
          <rPr>
            <sz val="9"/>
            <color indexed="81"/>
            <rFont val="Tahoma"/>
            <charset val="1"/>
          </rPr>
          <t xml:space="preserve">it is recommended to check the stations at least 1 / month, how ever snow cover may make it difficult at times
</t>
        </r>
      </text>
    </comment>
    <comment ref="I36" authorId="0" shapeId="0" xr:uid="{00000000-0006-0000-0400-000003000000}">
      <text>
        <r>
          <rPr>
            <sz val="9"/>
            <color indexed="81"/>
            <rFont val="Tahoma"/>
            <family val="2"/>
          </rPr>
          <t>40 grams is an average replacement, active stations may need more</t>
        </r>
      </text>
    </comment>
    <comment ref="C42" authorId="0" shapeId="0" xr:uid="{00000000-0006-0000-0400-000004000000}">
      <text>
        <r>
          <rPr>
            <sz val="9"/>
            <color indexed="81"/>
            <rFont val="Tahoma"/>
            <family val="2"/>
          </rPr>
          <t>Attic spacing is recommended to be every 10 feet alternating sides</t>
        </r>
      </text>
    </comment>
    <comment ref="G42" authorId="0" shapeId="0" xr:uid="{00000000-0006-0000-0400-000005000000}">
      <text>
        <r>
          <rPr>
            <sz val="9"/>
            <color indexed="81"/>
            <rFont val="Tahoma"/>
            <family val="2"/>
          </rPr>
          <t>40 grams is the average replacement</t>
        </r>
      </text>
    </comment>
    <comment ref="I42" authorId="0" shapeId="0" xr:uid="{00000000-0006-0000-0400-000006000000}">
      <text>
        <r>
          <rPr>
            <sz val="9"/>
            <color indexed="81"/>
            <rFont val="Tahoma"/>
            <family val="2"/>
          </rPr>
          <t>At least 2 times a year the attic should be inspecte and rebaited</t>
        </r>
      </text>
    </comment>
    <comment ref="A48" authorId="0" shapeId="0" xr:uid="{00000000-0006-0000-0400-000007000000}">
      <text>
        <r>
          <rPr>
            <sz val="9"/>
            <color indexed="81"/>
            <rFont val="Tahoma"/>
            <family val="2"/>
          </rPr>
          <t>Stations should be installed where animals can not reach them</t>
        </r>
      </text>
    </comment>
    <comment ref="C48" authorId="0" shapeId="0" xr:uid="{00000000-0006-0000-0400-000008000000}">
      <text>
        <r>
          <rPr>
            <sz val="9"/>
            <color indexed="81"/>
            <rFont val="Tahoma"/>
            <family val="2"/>
          </rPr>
          <t>If the outside stations are doing their job, these should be less active. 20 grams is a good average</t>
        </r>
      </text>
    </comment>
    <comment ref="I48" authorId="0" shapeId="0" xr:uid="{00000000-0006-0000-0400-000009000000}">
      <text>
        <r>
          <rPr>
            <sz val="9"/>
            <color indexed="81"/>
            <rFont val="Tahoma"/>
            <family val="2"/>
          </rPr>
          <t>These should be checked at lease monthly (12 times) or shorter if activity is evident.</t>
        </r>
      </text>
    </comment>
  </commentList>
</comments>
</file>

<file path=xl/sharedStrings.xml><?xml version="1.0" encoding="utf-8"?>
<sst xmlns="http://schemas.openxmlformats.org/spreadsheetml/2006/main" count="408" uniqueCount="139">
  <si>
    <t>Cleaners and Disinfectants</t>
  </si>
  <si>
    <t>Width</t>
  </si>
  <si>
    <t>Feet</t>
  </si>
  <si>
    <t>Meters</t>
  </si>
  <si>
    <t>Height</t>
  </si>
  <si>
    <t>HYPEROX</t>
  </si>
  <si>
    <t>VIRKON</t>
  </si>
  <si>
    <t># of Rooms</t>
  </si>
  <si>
    <t>or</t>
  </si>
  <si>
    <t>sq ft</t>
  </si>
  <si>
    <t>sq m</t>
  </si>
  <si>
    <t>cu m</t>
  </si>
  <si>
    <t>Name</t>
  </si>
  <si>
    <t>Owner</t>
  </si>
  <si>
    <t>Postal Code</t>
  </si>
  <si>
    <t>L</t>
  </si>
  <si>
    <t>kg</t>
  </si>
  <si>
    <t>cu ft</t>
  </si>
  <si>
    <t>Insecticides</t>
  </si>
  <si>
    <t>Disvap IV</t>
  </si>
  <si>
    <t>Disvap V</t>
  </si>
  <si>
    <t>ready to use</t>
  </si>
  <si>
    <t>Farm Information</t>
  </si>
  <si>
    <t>pi ca</t>
  </si>
  <si>
    <t>m ca</t>
  </si>
  <si>
    <t>WATER LINE VOLUME</t>
  </si>
  <si>
    <t>1/2</t>
  </si>
  <si>
    <t>3/4</t>
  </si>
  <si>
    <t>1</t>
  </si>
  <si>
    <t>1 1/4</t>
  </si>
  <si>
    <t>1 1/2</t>
  </si>
  <si>
    <t>2</t>
  </si>
  <si>
    <t>Length (ft)</t>
  </si>
  <si>
    <t>Total Volume</t>
  </si>
  <si>
    <t>Volume (L)</t>
  </si>
  <si>
    <t>Diameter (in)</t>
  </si>
  <si>
    <t>Product Chart for Water Line</t>
  </si>
  <si>
    <t>Biosecurity Product Chart</t>
  </si>
  <si>
    <r>
      <t>500 ml/ m</t>
    </r>
    <r>
      <rPr>
        <vertAlign val="superscript"/>
        <sz val="9"/>
        <rFont val="Arial"/>
        <family val="2"/>
      </rPr>
      <t>2</t>
    </r>
  </si>
  <si>
    <r>
      <t>250 ml/ m</t>
    </r>
    <r>
      <rPr>
        <vertAlign val="superscript"/>
        <sz val="9"/>
        <rFont val="Arial"/>
        <family val="2"/>
      </rPr>
      <t>2</t>
    </r>
  </si>
  <si>
    <r>
      <t>300 ml/ m</t>
    </r>
    <r>
      <rPr>
        <vertAlign val="superscript"/>
        <sz val="9"/>
        <rFont val="Arial"/>
        <family val="2"/>
      </rPr>
      <t>2</t>
    </r>
  </si>
  <si>
    <r>
      <t>10 ml/ m</t>
    </r>
    <r>
      <rPr>
        <vertAlign val="superscript"/>
        <sz val="9"/>
        <rFont val="Arial"/>
        <family val="2"/>
      </rPr>
      <t>3</t>
    </r>
  </si>
  <si>
    <r>
      <t>200 ml/ 100 m</t>
    </r>
    <r>
      <rPr>
        <vertAlign val="superscript"/>
        <sz val="9"/>
        <rFont val="Arial"/>
        <family val="2"/>
      </rPr>
      <t>3</t>
    </r>
  </si>
  <si>
    <r>
      <t>4 L/ 100 m</t>
    </r>
    <r>
      <rPr>
        <vertAlign val="superscript"/>
        <sz val="9"/>
        <rFont val="Arial"/>
        <family val="2"/>
      </rPr>
      <t>2</t>
    </r>
  </si>
  <si>
    <r>
      <t>125 ml/ m</t>
    </r>
    <r>
      <rPr>
        <vertAlign val="superscript"/>
        <sz val="9"/>
        <rFont val="Arial"/>
        <family val="2"/>
      </rPr>
      <t>2</t>
    </r>
  </si>
  <si>
    <t>Product Chart for Livestock Barn</t>
  </si>
  <si>
    <t>BIOSOLVE Plus</t>
  </si>
  <si>
    <t>2-24 ml/L</t>
  </si>
  <si>
    <t>Biosentry 904</t>
  </si>
  <si>
    <r>
      <t>3 L/ 186 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pl.</t>
    </r>
  </si>
  <si>
    <t>Floor only</t>
  </si>
  <si>
    <t>4 ml/L</t>
  </si>
  <si>
    <t>Correction Factor =</t>
  </si>
  <si>
    <t>sprayed at</t>
  </si>
  <si>
    <t>foamed at</t>
  </si>
  <si>
    <t>Vol. of Sol.</t>
  </si>
  <si>
    <t>Qty. of Prod.</t>
  </si>
  <si>
    <t>misted at</t>
  </si>
  <si>
    <t>1 : 256</t>
  </si>
  <si>
    <t>1 %</t>
  </si>
  <si>
    <t>Total Surface</t>
  </si>
  <si>
    <t xml:space="preserve">injected at </t>
  </si>
  <si>
    <t>Walls+ceiling/floor</t>
  </si>
  <si>
    <t>Town / Province</t>
  </si>
  <si>
    <t>Tel. / Fax #</t>
  </si>
  <si>
    <t>Email</t>
  </si>
  <si>
    <t>n/a</t>
  </si>
  <si>
    <r>
      <rPr>
        <b/>
        <sz val="9"/>
        <rFont val="Arial"/>
        <family val="2"/>
      </rPr>
      <t xml:space="preserve">1 </t>
    </r>
    <r>
      <rPr>
        <sz val="9"/>
        <rFont val="Arial"/>
        <family val="2"/>
      </rPr>
      <t>%</t>
    </r>
  </si>
  <si>
    <r>
      <rPr>
        <b/>
        <sz val="9"/>
        <rFont val="Arial"/>
        <family val="2"/>
      </rPr>
      <t>1</t>
    </r>
    <r>
      <rPr>
        <sz val="9"/>
        <rFont val="Arial"/>
        <family val="2"/>
      </rPr>
      <t xml:space="preserve"> %</t>
    </r>
  </si>
  <si>
    <r>
      <rPr>
        <b/>
        <sz val="9"/>
        <rFont val="Arial"/>
        <family val="2"/>
      </rPr>
      <t>8</t>
    </r>
    <r>
      <rPr>
        <sz val="9"/>
        <rFont val="Arial"/>
        <family val="2"/>
      </rPr>
      <t xml:space="preserve"> ml/L</t>
    </r>
  </si>
  <si>
    <r>
      <rPr>
        <b/>
        <sz val="9"/>
        <rFont val="Arial"/>
        <family val="2"/>
      </rPr>
      <t>4</t>
    </r>
    <r>
      <rPr>
        <sz val="9"/>
        <rFont val="Arial"/>
        <family val="2"/>
      </rPr>
      <t xml:space="preserve"> ml/L</t>
    </r>
  </si>
  <si>
    <r>
      <rPr>
        <b/>
        <sz val="9"/>
        <rFont val="Arial"/>
        <family val="2"/>
      </rPr>
      <t>2-24</t>
    </r>
    <r>
      <rPr>
        <sz val="9"/>
        <rFont val="Arial"/>
        <family val="2"/>
      </rPr>
      <t xml:space="preserve"> ml/L</t>
    </r>
  </si>
  <si>
    <t>Dimensions</t>
  </si>
  <si>
    <t>Total surface without ceiling</t>
  </si>
  <si>
    <t>Preparation of Stock Solutions</t>
  </si>
  <si>
    <t>Dilution Rate of Injector = 1/</t>
  </si>
  <si>
    <t>Volume of Stock Solution Pail =</t>
  </si>
  <si>
    <t>L/kg of prod.</t>
  </si>
  <si>
    <t>L of sol.      / pail</t>
  </si>
  <si>
    <t>L/kg prod. / pail</t>
  </si>
  <si>
    <t>L water        / pail</t>
  </si>
  <si>
    <t>L of       stock sol.</t>
  </si>
  <si>
    <t># of     pails</t>
  </si>
  <si>
    <t xml:space="preserve">L of         sol. </t>
  </si>
  <si>
    <t>Identification of Barn / Room</t>
  </si>
  <si>
    <t xml:space="preserve">Total Corrected Volume </t>
  </si>
  <si>
    <t>Identification of Barn / Room / House / Floor</t>
  </si>
  <si>
    <t>Length</t>
  </si>
  <si>
    <t xml:space="preserve">Tel./Fax # </t>
  </si>
  <si>
    <t xml:space="preserve">Email </t>
  </si>
  <si>
    <t xml:space="preserve">
Biosolve AFC</t>
  </si>
  <si>
    <t>BIOSOLVE AFC</t>
  </si>
  <si>
    <t>Biosolve AFC</t>
  </si>
  <si>
    <r>
      <rPr>
        <b/>
        <sz val="9"/>
        <rFont val="Arial"/>
        <family val="2"/>
      </rPr>
      <t>33</t>
    </r>
    <r>
      <rPr>
        <sz val="9"/>
        <rFont val="Arial"/>
        <family val="2"/>
      </rPr>
      <t xml:space="preserve"> %</t>
    </r>
  </si>
  <si>
    <r>
      <rPr>
        <b/>
        <sz val="9"/>
        <rFont val="Arial"/>
        <family val="2"/>
      </rPr>
      <t>10</t>
    </r>
    <r>
      <rPr>
        <sz val="9"/>
        <rFont val="Arial"/>
        <family val="2"/>
      </rPr>
      <t xml:space="preserve"> %</t>
    </r>
  </si>
  <si>
    <t># of Rooms / Floors</t>
  </si>
  <si>
    <t>Required outside bait station</t>
  </si>
  <si>
    <t>Lenght (Feet)</t>
  </si>
  <si>
    <t>Width (Feet)</t>
  </si>
  <si>
    <t>Total linear feet</t>
  </si>
  <si>
    <t>Number of outside bait station</t>
  </si>
  <si>
    <t>+</t>
  </si>
  <si>
    <t xml:space="preserve">X </t>
  </si>
  <si>
    <t>=</t>
  </si>
  <si>
    <t>Required rodenticide for outside bait stations</t>
  </si>
  <si>
    <t>Nb. of bait stations</t>
  </si>
  <si>
    <t>Check up frequency</t>
  </si>
  <si>
    <t>Quantity replace (g)</t>
  </si>
  <si>
    <t>X</t>
  </si>
  <si>
    <t>/ year</t>
  </si>
  <si>
    <t>/ 1000</t>
  </si>
  <si>
    <t>Kg</t>
  </si>
  <si>
    <t>Required rodenticide for attics</t>
  </si>
  <si>
    <t>Spacement between bait (Feet)</t>
  </si>
  <si>
    <t>/</t>
  </si>
  <si>
    <t>Required rodenticide for inside bait stations</t>
  </si>
  <si>
    <t>Total of rodenticide required:</t>
  </si>
  <si>
    <t xml:space="preserve"> Space between bait stations (Feet)</t>
  </si>
  <si>
    <t>Product</t>
  </si>
  <si>
    <t>Hombre</t>
  </si>
  <si>
    <t>Fastdraw</t>
  </si>
  <si>
    <t>Revolver</t>
  </si>
  <si>
    <t>Boothill</t>
  </si>
  <si>
    <t>Sizes</t>
  </si>
  <si>
    <t>600 grams</t>
  </si>
  <si>
    <t>1.2 Kg</t>
  </si>
  <si>
    <t>3.5 kg</t>
  </si>
  <si>
    <t>5 kg</t>
  </si>
  <si>
    <t>7kg</t>
  </si>
  <si>
    <t>10 kg</t>
  </si>
  <si>
    <t>PowerFoam S</t>
  </si>
  <si>
    <r>
      <t xml:space="preserve">2-8 </t>
    </r>
    <r>
      <rPr>
        <sz val="9"/>
        <rFont val="Arial"/>
        <family val="2"/>
      </rPr>
      <t>ml/l</t>
    </r>
  </si>
  <si>
    <t>Powerfoam S</t>
  </si>
  <si>
    <t>%</t>
  </si>
  <si>
    <t>Medicator setting     1/</t>
  </si>
  <si>
    <t>Vol of Water</t>
  </si>
  <si>
    <t xml:space="preserve"> Total Vol of Stock</t>
  </si>
  <si>
    <t>0</t>
  </si>
  <si>
    <r>
      <t>17 ml/ m</t>
    </r>
    <r>
      <rPr>
        <vertAlign val="superscript"/>
        <sz val="9"/>
        <rFont val="Arial"/>
        <family val="2"/>
      </rPr>
      <t>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</si>
</sst>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* #,##0.00_)\ _$_ ;_ * \(#,##0.00\)\ _$_ ;_ * &quot;-&quot;??_)\ _$_ ;_ @_ "/>
    <numFmt numFmtId="165" formatCode="0.0"/>
    <numFmt numFmtId="166" formatCode="0.000"/>
    <numFmt numFmtId="167" formatCode="_ * #,##0.000_)\ _$_ ;_ * \(#,##0.000\)\ _$_ ;_ * &quot;-&quot;??_)\ _$_ ;_ @_ "/>
  </numFmts>
  <fonts count="2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i/>
      <sz val="9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vertAlign val="superscript"/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u/>
      <sz val="10"/>
      <color theme="10"/>
      <name val="Arial"/>
    </font>
    <font>
      <sz val="8"/>
      <name val="Arial"/>
    </font>
    <font>
      <b/>
      <sz val="8"/>
      <name val="Arial"/>
    </font>
    <font>
      <b/>
      <sz val="8"/>
      <name val="Arial"/>
      <family val="2"/>
    </font>
    <font>
      <sz val="9"/>
      <color indexed="81"/>
      <name val="Tahoma"/>
      <charset val="1"/>
    </font>
    <font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207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/>
    <xf numFmtId="0" fontId="4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/>
    <xf numFmtId="0" fontId="7" fillId="0" borderId="0" xfId="0" applyFont="1" applyAlignment="1">
      <alignment horizontal="left"/>
    </xf>
    <xf numFmtId="9" fontId="7" fillId="0" borderId="0" xfId="0" applyNumberFormat="1" applyFont="1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5" xfId="0" applyBorder="1"/>
    <xf numFmtId="0" fontId="3" fillId="0" borderId="5" xfId="0" applyFont="1" applyBorder="1" applyAlignment="1">
      <alignment horizontal="center"/>
    </xf>
    <xf numFmtId="49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0" fontId="9" fillId="0" borderId="2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2" fillId="2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166" fontId="6" fillId="0" borderId="0" xfId="0" applyNumberFormat="1" applyFont="1"/>
    <xf numFmtId="0" fontId="3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166" fontId="6" fillId="0" borderId="1" xfId="0" applyNumberFormat="1" applyFont="1" applyBorder="1" applyAlignment="1">
      <alignment horizontal="right"/>
    </xf>
    <xf numFmtId="166" fontId="2" fillId="0" borderId="0" xfId="0" applyNumberFormat="1" applyFont="1"/>
    <xf numFmtId="0" fontId="16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167" fontId="0" fillId="0" borderId="12" xfId="0" applyNumberFormat="1" applyBorder="1" applyAlignment="1">
      <alignment horizontal="center"/>
    </xf>
    <xf numFmtId="167" fontId="0" fillId="0" borderId="3" xfId="0" applyNumberFormat="1" applyBorder="1" applyAlignment="1">
      <alignment horizontal="center"/>
    </xf>
    <xf numFmtId="167" fontId="0" fillId="0" borderId="4" xfId="0" applyNumberFormat="1" applyBorder="1" applyAlignment="1">
      <alignment horizontal="center"/>
    </xf>
    <xf numFmtId="167" fontId="0" fillId="0" borderId="2" xfId="0" applyNumberFormat="1" applyBorder="1" applyAlignment="1">
      <alignment horizontal="center"/>
    </xf>
    <xf numFmtId="49" fontId="13" fillId="0" borderId="3" xfId="0" applyNumberFormat="1" applyFont="1" applyBorder="1" applyAlignment="1">
      <alignment horizontal="center"/>
    </xf>
    <xf numFmtId="0" fontId="16" fillId="0" borderId="0" xfId="0" applyFont="1"/>
    <xf numFmtId="1" fontId="16" fillId="0" borderId="0" xfId="0" applyNumberFormat="1" applyFont="1" applyAlignment="1">
      <alignment horizontal="center"/>
    </xf>
    <xf numFmtId="1" fontId="16" fillId="0" borderId="0" xfId="0" applyNumberFormat="1" applyFont="1"/>
    <xf numFmtId="0" fontId="15" fillId="0" borderId="0" xfId="0" applyFont="1"/>
    <xf numFmtId="0" fontId="3" fillId="0" borderId="5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10" fillId="0" borderId="0" xfId="0" applyFont="1"/>
    <xf numFmtId="0" fontId="11" fillId="0" borderId="0" xfId="0" applyFont="1"/>
    <xf numFmtId="0" fontId="11" fillId="0" borderId="5" xfId="0" applyFont="1" applyBorder="1"/>
    <xf numFmtId="0" fontId="6" fillId="0" borderId="0" xfId="0" applyFont="1"/>
    <xf numFmtId="1" fontId="6" fillId="0" borderId="0" xfId="0" applyNumberFormat="1" applyFont="1" applyAlignment="1">
      <alignment horizontal="center"/>
    </xf>
    <xf numFmtId="1" fontId="6" fillId="0" borderId="0" xfId="0" applyNumberFormat="1" applyFont="1"/>
    <xf numFmtId="0" fontId="15" fillId="3" borderId="0" xfId="0" applyFont="1" applyFill="1"/>
    <xf numFmtId="0" fontId="0" fillId="3" borderId="0" xfId="0" applyFill="1"/>
    <xf numFmtId="0" fontId="2" fillId="0" borderId="0" xfId="0" applyFont="1" applyAlignment="1">
      <alignment horizontal="left"/>
    </xf>
    <xf numFmtId="1" fontId="5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1" fontId="2" fillId="3" borderId="0" xfId="0" applyNumberFormat="1" applyFont="1" applyFill="1" applyAlignment="1">
      <alignment horizontal="center"/>
    </xf>
    <xf numFmtId="1" fontId="2" fillId="0" borderId="0" xfId="0" applyNumberFormat="1" applyFont="1" applyAlignment="1">
      <alignment horizontal="center"/>
    </xf>
    <xf numFmtId="166" fontId="2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  <xf numFmtId="0" fontId="7" fillId="0" borderId="0" xfId="0" applyFont="1" applyAlignment="1">
      <alignment horizontal="center"/>
    </xf>
    <xf numFmtId="49" fontId="7" fillId="0" borderId="2" xfId="0" applyNumberFormat="1" applyFont="1" applyBorder="1" applyAlignment="1">
      <alignment horizontal="center"/>
    </xf>
    <xf numFmtId="166" fontId="0" fillId="0" borderId="0" xfId="0" applyNumberFormat="1" applyAlignment="1">
      <alignment horizontal="right"/>
    </xf>
    <xf numFmtId="166" fontId="0" fillId="0" borderId="9" xfId="0" applyNumberFormat="1" applyBorder="1" applyAlignment="1">
      <alignment horizontal="center"/>
    </xf>
    <xf numFmtId="1" fontId="0" fillId="0" borderId="8" xfId="0" applyNumberFormat="1" applyBorder="1" applyAlignment="1">
      <alignment horizontal="center"/>
    </xf>
    <xf numFmtId="167" fontId="0" fillId="0" borderId="0" xfId="0" applyNumberFormat="1" applyAlignment="1">
      <alignment horizontal="center"/>
    </xf>
    <xf numFmtId="167" fontId="0" fillId="0" borderId="9" xfId="0" applyNumberFormat="1" applyBorder="1" applyAlignment="1">
      <alignment horizontal="center"/>
    </xf>
    <xf numFmtId="0" fontId="7" fillId="0" borderId="1" xfId="0" applyFont="1" applyBorder="1" applyAlignment="1">
      <alignment horizontal="center"/>
    </xf>
    <xf numFmtId="49" fontId="7" fillId="0" borderId="3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166" fontId="0" fillId="0" borderId="1" xfId="0" applyNumberFormat="1" applyBorder="1" applyAlignment="1">
      <alignment horizontal="right"/>
    </xf>
    <xf numFmtId="1" fontId="0" fillId="0" borderId="1" xfId="0" applyNumberFormat="1" applyBorder="1" applyAlignment="1">
      <alignment horizontal="center"/>
    </xf>
    <xf numFmtId="166" fontId="0" fillId="0" borderId="7" xfId="0" applyNumberForma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167" fontId="0" fillId="0" borderId="7" xfId="0" applyNumberFormat="1" applyBorder="1" applyAlignment="1">
      <alignment horizontal="center"/>
    </xf>
    <xf numFmtId="167" fontId="0" fillId="0" borderId="1" xfId="0" applyNumberFormat="1" applyBorder="1" applyAlignment="1">
      <alignment horizontal="center"/>
    </xf>
    <xf numFmtId="49" fontId="7" fillId="0" borderId="4" xfId="0" applyNumberFormat="1" applyFont="1" applyBorder="1" applyAlignment="1">
      <alignment horizontal="center"/>
    </xf>
    <xf numFmtId="0" fontId="0" fillId="0" borderId="6" xfId="0" applyBorder="1" applyAlignment="1">
      <alignment horizontal="center"/>
    </xf>
    <xf numFmtId="1" fontId="0" fillId="0" borderId="9" xfId="0" applyNumberFormat="1" applyBorder="1" applyAlignment="1">
      <alignment horizontal="center"/>
    </xf>
    <xf numFmtId="49" fontId="7" fillId="0" borderId="6" xfId="0" applyNumberFormat="1" applyFont="1" applyBorder="1" applyAlignment="1">
      <alignment horizontal="center"/>
    </xf>
    <xf numFmtId="49" fontId="7" fillId="0" borderId="0" xfId="0" applyNumberFormat="1" applyFont="1" applyAlignment="1">
      <alignment horizontal="center"/>
    </xf>
    <xf numFmtId="49" fontId="7" fillId="0" borderId="1" xfId="0" applyNumberFormat="1" applyFont="1" applyBorder="1" applyAlignment="1">
      <alignment horizontal="center"/>
    </xf>
    <xf numFmtId="164" fontId="13" fillId="0" borderId="1" xfId="0" applyNumberFormat="1" applyFont="1" applyBorder="1" applyAlignment="1">
      <alignment horizontal="center"/>
    </xf>
    <xf numFmtId="164" fontId="13" fillId="0" borderId="7" xfId="0" applyNumberFormat="1" applyFont="1" applyBorder="1" applyAlignment="1">
      <alignment horizontal="center"/>
    </xf>
    <xf numFmtId="167" fontId="13" fillId="0" borderId="7" xfId="0" applyNumberFormat="1" applyFont="1" applyBorder="1" applyAlignment="1">
      <alignment horizontal="center"/>
    </xf>
    <xf numFmtId="167" fontId="13" fillId="0" borderId="1" xfId="0" applyNumberFormat="1" applyFont="1" applyBorder="1" applyAlignment="1">
      <alignment horizontal="center"/>
    </xf>
    <xf numFmtId="166" fontId="0" fillId="0" borderId="13" xfId="0" applyNumberFormat="1" applyBorder="1" applyAlignment="1">
      <alignment horizontal="center"/>
    </xf>
    <xf numFmtId="0" fontId="6" fillId="0" borderId="1" xfId="0" applyFont="1" applyBorder="1" applyAlignment="1">
      <alignment horizontal="center"/>
    </xf>
    <xf numFmtId="49" fontId="13" fillId="0" borderId="1" xfId="0" applyNumberFormat="1" applyFont="1" applyBorder="1" applyAlignment="1">
      <alignment horizontal="center"/>
    </xf>
    <xf numFmtId="49" fontId="13" fillId="0" borderId="7" xfId="0" applyNumberFormat="1" applyFont="1" applyBorder="1" applyAlignment="1">
      <alignment horizontal="center"/>
    </xf>
    <xf numFmtId="166" fontId="0" fillId="0" borderId="6" xfId="0" applyNumberFormat="1" applyBorder="1" applyAlignment="1">
      <alignment horizontal="right"/>
    </xf>
    <xf numFmtId="165" fontId="0" fillId="0" borderId="0" xfId="0" applyNumberFormat="1"/>
    <xf numFmtId="0" fontId="0" fillId="0" borderId="5" xfId="0" applyBorder="1" applyAlignment="1">
      <alignment horizontal="left"/>
    </xf>
    <xf numFmtId="0" fontId="0" fillId="0" borderId="5" xfId="0" applyBorder="1" applyAlignment="1">
      <alignment horizontal="center"/>
    </xf>
    <xf numFmtId="166" fontId="0" fillId="0" borderId="0" xfId="0" applyNumberFormat="1"/>
    <xf numFmtId="1" fontId="0" fillId="3" borderId="9" xfId="0" applyNumberFormat="1" applyFill="1" applyBorder="1" applyProtection="1">
      <protection locked="0"/>
    </xf>
    <xf numFmtId="1" fontId="2" fillId="3" borderId="0" xfId="0" applyNumberFormat="1" applyFont="1" applyFill="1" applyProtection="1">
      <protection locked="0"/>
    </xf>
    <xf numFmtId="0" fontId="5" fillId="2" borderId="0" xfId="0" applyFont="1" applyFill="1" applyAlignment="1" applyProtection="1">
      <alignment horizontal="center"/>
      <protection locked="0"/>
    </xf>
    <xf numFmtId="1" fontId="5" fillId="3" borderId="14" xfId="0" applyNumberFormat="1" applyFont="1" applyFill="1" applyBorder="1" applyAlignment="1" applyProtection="1">
      <alignment horizontal="center" vertical="center"/>
      <protection locked="0"/>
    </xf>
    <xf numFmtId="1" fontId="5" fillId="3" borderId="1" xfId="0" applyNumberFormat="1" applyFont="1" applyFill="1" applyBorder="1" applyAlignment="1" applyProtection="1">
      <alignment horizontal="center" vertical="center"/>
      <protection locked="0"/>
    </xf>
    <xf numFmtId="1" fontId="5" fillId="3" borderId="6" xfId="0" applyNumberFormat="1" applyFont="1" applyFill="1" applyBorder="1" applyAlignment="1" applyProtection="1">
      <alignment horizontal="center" vertical="center"/>
      <protection locked="0"/>
    </xf>
    <xf numFmtId="1" fontId="9" fillId="3" borderId="6" xfId="0" applyNumberFormat="1" applyFont="1" applyFill="1" applyBorder="1" applyAlignment="1" applyProtection="1">
      <alignment horizontal="center"/>
      <protection locked="0"/>
    </xf>
    <xf numFmtId="1" fontId="9" fillId="3" borderId="0" xfId="0" applyNumberFormat="1" applyFont="1" applyFill="1" applyAlignment="1" applyProtection="1">
      <alignment horizontal="center"/>
      <protection locked="0"/>
    </xf>
    <xf numFmtId="0" fontId="9" fillId="3" borderId="1" xfId="0" applyFont="1" applyFill="1" applyBorder="1" applyAlignment="1" applyProtection="1">
      <alignment horizontal="center"/>
      <protection locked="0"/>
    </xf>
    <xf numFmtId="0" fontId="9" fillId="3" borderId="6" xfId="0" applyFont="1" applyFill="1" applyBorder="1" applyAlignment="1" applyProtection="1">
      <alignment horizontal="center"/>
      <protection locked="0"/>
    </xf>
    <xf numFmtId="1" fontId="9" fillId="3" borderId="6" xfId="1" applyNumberFormat="1" applyFont="1" applyFill="1" applyBorder="1" applyAlignment="1" applyProtection="1">
      <alignment horizontal="center"/>
      <protection locked="0"/>
    </xf>
    <xf numFmtId="1" fontId="9" fillId="3" borderId="0" xfId="1" applyNumberFormat="1" applyFont="1" applyFill="1" applyBorder="1" applyAlignment="1" applyProtection="1">
      <alignment horizontal="center"/>
      <protection locked="0"/>
    </xf>
    <xf numFmtId="1" fontId="9" fillId="3" borderId="1" xfId="1" applyNumberFormat="1" applyFont="1" applyFill="1" applyBorder="1" applyAlignment="1" applyProtection="1">
      <alignment horizontal="center"/>
      <protection locked="0"/>
    </xf>
    <xf numFmtId="0" fontId="5" fillId="3" borderId="0" xfId="0" applyFont="1" applyFill="1" applyAlignment="1" applyProtection="1">
      <alignment horizontal="center"/>
      <protection locked="0"/>
    </xf>
    <xf numFmtId="1" fontId="0" fillId="0" borderId="0" xfId="0" applyNumberFormat="1" applyAlignment="1">
      <alignment horizontal="right"/>
    </xf>
    <xf numFmtId="1" fontId="0" fillId="0" borderId="1" xfId="0" applyNumberFormat="1" applyBorder="1" applyAlignment="1">
      <alignment horizontal="right"/>
    </xf>
    <xf numFmtId="1" fontId="0" fillId="0" borderId="6" xfId="0" applyNumberFormat="1" applyBorder="1" applyAlignment="1">
      <alignment horizontal="right"/>
    </xf>
    <xf numFmtId="1" fontId="0" fillId="0" borderId="9" xfId="0" applyNumberFormat="1" applyBorder="1" applyAlignment="1">
      <alignment horizontal="right"/>
    </xf>
    <xf numFmtId="1" fontId="0" fillId="0" borderId="7" xfId="0" applyNumberFormat="1" applyBorder="1" applyAlignment="1">
      <alignment horizontal="right"/>
    </xf>
    <xf numFmtId="1" fontId="6" fillId="0" borderId="0" xfId="0" applyNumberFormat="1" applyFont="1" applyAlignment="1">
      <alignment horizontal="right"/>
    </xf>
    <xf numFmtId="0" fontId="6" fillId="3" borderId="0" xfId="0" applyFont="1" applyFill="1" applyProtection="1">
      <protection locked="0"/>
    </xf>
    <xf numFmtId="1" fontId="5" fillId="3" borderId="0" xfId="0" applyNumberFormat="1" applyFont="1" applyFill="1" applyAlignment="1" applyProtection="1">
      <alignment horizontal="center"/>
      <protection locked="0"/>
    </xf>
    <xf numFmtId="49" fontId="6" fillId="2" borderId="0" xfId="0" applyNumberFormat="1" applyFont="1" applyFill="1" applyAlignment="1" applyProtection="1">
      <alignment horizontal="left"/>
      <protection locked="0"/>
    </xf>
    <xf numFmtId="0" fontId="3" fillId="0" borderId="5" xfId="0" applyFont="1" applyBorder="1"/>
    <xf numFmtId="49" fontId="1" fillId="2" borderId="0" xfId="0" applyNumberFormat="1" applyFont="1" applyFill="1" applyAlignment="1" applyProtection="1">
      <alignment horizontal="left"/>
      <protection locked="0"/>
    </xf>
    <xf numFmtId="49" fontId="17" fillId="2" borderId="0" xfId="2" applyNumberFormat="1" applyFill="1" applyAlignment="1" applyProtection="1">
      <alignment horizontal="left"/>
      <protection locked="0"/>
    </xf>
    <xf numFmtId="0" fontId="18" fillId="4" borderId="0" xfId="0" applyFont="1" applyFill="1"/>
    <xf numFmtId="0" fontId="18" fillId="4" borderId="0" xfId="0" applyFont="1" applyFill="1" applyAlignment="1">
      <alignment horizontal="center"/>
    </xf>
    <xf numFmtId="0" fontId="19" fillId="4" borderId="0" xfId="0" applyFont="1" applyFill="1"/>
    <xf numFmtId="0" fontId="19" fillId="4" borderId="0" xfId="0" applyFont="1" applyFill="1" applyAlignment="1">
      <alignment horizontal="center"/>
    </xf>
    <xf numFmtId="0" fontId="19" fillId="0" borderId="0" xfId="0" applyFont="1"/>
    <xf numFmtId="0" fontId="18" fillId="5" borderId="1" xfId="0" applyFont="1" applyFill="1" applyBorder="1" applyAlignment="1">
      <alignment horizontal="center"/>
    </xf>
    <xf numFmtId="0" fontId="18" fillId="5" borderId="1" xfId="0" applyFont="1" applyFill="1" applyBorder="1"/>
    <xf numFmtId="0" fontId="18" fillId="4" borderId="1" xfId="0" applyFont="1" applyFill="1" applyBorder="1"/>
    <xf numFmtId="0" fontId="18" fillId="4" borderId="1" xfId="0" applyFont="1" applyFill="1" applyBorder="1" applyAlignment="1">
      <alignment horizontal="center"/>
    </xf>
    <xf numFmtId="0" fontId="19" fillId="4" borderId="0" xfId="0" applyFont="1" applyFill="1" applyAlignment="1">
      <alignment horizontal="left"/>
    </xf>
    <xf numFmtId="0" fontId="18" fillId="0" borderId="0" xfId="0" applyFont="1" applyAlignment="1">
      <alignment horizontal="center"/>
    </xf>
    <xf numFmtId="0" fontId="19" fillId="5" borderId="1" xfId="0" applyFont="1" applyFill="1" applyBorder="1" applyAlignment="1">
      <alignment horizontal="center"/>
    </xf>
    <xf numFmtId="0" fontId="19" fillId="4" borderId="0" xfId="0" applyFont="1" applyFill="1" applyAlignment="1">
      <alignment horizontal="right"/>
    </xf>
    <xf numFmtId="0" fontId="20" fillId="4" borderId="0" xfId="0" applyFont="1" applyFill="1"/>
    <xf numFmtId="0" fontId="20" fillId="6" borderId="0" xfId="0" applyFont="1" applyFill="1" applyAlignment="1">
      <alignment horizontal="center"/>
    </xf>
    <xf numFmtId="0" fontId="13" fillId="4" borderId="0" xfId="0" applyFont="1" applyFill="1"/>
    <xf numFmtId="0" fontId="13" fillId="4" borderId="21" xfId="0" applyFont="1" applyFill="1" applyBorder="1"/>
    <xf numFmtId="0" fontId="13" fillId="4" borderId="21" xfId="0" applyFont="1" applyFill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21" xfId="0" applyFont="1" applyBorder="1" applyAlignment="1">
      <alignment horizontal="center"/>
    </xf>
    <xf numFmtId="165" fontId="0" fillId="0" borderId="21" xfId="0" applyNumberFormat="1" applyBorder="1" applyAlignment="1">
      <alignment horizontal="center"/>
    </xf>
    <xf numFmtId="0" fontId="18" fillId="0" borderId="1" xfId="0" applyFont="1" applyBorder="1" applyAlignment="1">
      <alignment horizontal="center"/>
    </xf>
    <xf numFmtId="1" fontId="18" fillId="7" borderId="1" xfId="0" applyNumberFormat="1" applyFont="1" applyFill="1" applyBorder="1"/>
    <xf numFmtId="1" fontId="18" fillId="0" borderId="1" xfId="0" applyNumberFormat="1" applyFont="1" applyBorder="1" applyAlignment="1">
      <alignment horizontal="center"/>
    </xf>
    <xf numFmtId="0" fontId="18" fillId="0" borderId="1" xfId="0" applyFont="1" applyBorder="1"/>
    <xf numFmtId="49" fontId="14" fillId="0" borderId="0" xfId="0" applyNumberFormat="1" applyFont="1" applyAlignment="1">
      <alignment horizontal="center"/>
    </xf>
    <xf numFmtId="1" fontId="9" fillId="3" borderId="1" xfId="0" applyNumberFormat="1" applyFont="1" applyFill="1" applyBorder="1" applyAlignment="1" applyProtection="1">
      <alignment horizontal="center" vertical="center"/>
      <protection locked="0"/>
    </xf>
    <xf numFmtId="166" fontId="2" fillId="0" borderId="0" xfId="0" applyNumberFormat="1" applyFont="1" applyProtection="1">
      <protection locked="0"/>
    </xf>
    <xf numFmtId="0" fontId="14" fillId="0" borderId="5" xfId="0" applyFont="1" applyBorder="1"/>
    <xf numFmtId="0" fontId="2" fillId="3" borderId="0" xfId="0" applyFont="1" applyFill="1" applyAlignment="1">
      <alignment horizontal="center"/>
    </xf>
    <xf numFmtId="165" fontId="2" fillId="2" borderId="0" xfId="0" applyNumberFormat="1" applyFont="1" applyFill="1" applyProtection="1">
      <protection locked="0"/>
    </xf>
    <xf numFmtId="1" fontId="2" fillId="2" borderId="0" xfId="0" applyNumberFormat="1" applyFont="1" applyFill="1" applyAlignment="1" applyProtection="1">
      <alignment horizontal="center"/>
      <protection locked="0"/>
    </xf>
    <xf numFmtId="0" fontId="2" fillId="0" borderId="22" xfId="0" applyFont="1" applyBorder="1"/>
    <xf numFmtId="0" fontId="7" fillId="0" borderId="22" xfId="0" applyFont="1" applyBorder="1" applyAlignment="1">
      <alignment horizontal="center"/>
    </xf>
    <xf numFmtId="1" fontId="5" fillId="3" borderId="22" xfId="0" applyNumberFormat="1" applyFont="1" applyFill="1" applyBorder="1" applyAlignment="1" applyProtection="1">
      <alignment horizontal="center"/>
      <protection locked="0"/>
    </xf>
    <xf numFmtId="166" fontId="6" fillId="0" borderId="22" xfId="0" applyNumberFormat="1" applyFont="1" applyBorder="1" applyAlignment="1">
      <alignment horizontal="right"/>
    </xf>
    <xf numFmtId="0" fontId="6" fillId="0" borderId="22" xfId="0" applyFont="1" applyBorder="1" applyAlignment="1">
      <alignment horizontal="center"/>
    </xf>
    <xf numFmtId="166" fontId="0" fillId="0" borderId="22" xfId="0" applyNumberFormat="1" applyBorder="1" applyAlignment="1">
      <alignment horizontal="center"/>
    </xf>
    <xf numFmtId="0" fontId="1" fillId="0" borderId="22" xfId="0" applyFont="1" applyBorder="1" applyAlignment="1">
      <alignment horizontal="left"/>
    </xf>
    <xf numFmtId="0" fontId="0" fillId="0" borderId="22" xfId="0" applyBorder="1" applyAlignment="1">
      <alignment horizontal="center"/>
    </xf>
    <xf numFmtId="0" fontId="1" fillId="0" borderId="22" xfId="0" applyFont="1" applyBorder="1"/>
    <xf numFmtId="0" fontId="2" fillId="0" borderId="22" xfId="0" applyFont="1" applyBorder="1" applyAlignment="1">
      <alignment wrapText="1"/>
    </xf>
    <xf numFmtId="166" fontId="1" fillId="0" borderId="22" xfId="0" applyNumberFormat="1" applyFont="1" applyBorder="1" applyAlignment="1">
      <alignment horizontal="center"/>
    </xf>
    <xf numFmtId="0" fontId="2" fillId="0" borderId="22" xfId="0" applyFont="1" applyBorder="1" applyAlignment="1">
      <alignment vertical="center"/>
    </xf>
    <xf numFmtId="9" fontId="7" fillId="0" borderId="22" xfId="0" applyNumberFormat="1" applyFont="1" applyBorder="1" applyAlignment="1">
      <alignment horizontal="center"/>
    </xf>
    <xf numFmtId="49" fontId="7" fillId="0" borderId="22" xfId="0" applyNumberFormat="1" applyFont="1" applyBorder="1" applyAlignment="1">
      <alignment horizontal="center"/>
    </xf>
    <xf numFmtId="49" fontId="5" fillId="3" borderId="22" xfId="0" applyNumberFormat="1" applyFont="1" applyFill="1" applyBorder="1" applyAlignment="1" applyProtection="1">
      <alignment horizontal="center"/>
      <protection locked="0"/>
    </xf>
    <xf numFmtId="0" fontId="2" fillId="0" borderId="10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/>
    </xf>
    <xf numFmtId="0" fontId="5" fillId="0" borderId="0" xfId="0" applyFont="1" applyAlignment="1">
      <alignment horizontal="right"/>
    </xf>
    <xf numFmtId="0" fontId="7" fillId="0" borderId="1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3" fillId="0" borderId="5" xfId="0" applyFont="1" applyBorder="1"/>
    <xf numFmtId="0" fontId="2" fillId="0" borderId="5" xfId="0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6" fillId="3" borderId="0" xfId="0" applyFont="1" applyFill="1" applyProtection="1">
      <protection locked="0"/>
    </xf>
    <xf numFmtId="0" fontId="0" fillId="3" borderId="0" xfId="0" applyFill="1" applyProtection="1">
      <protection locked="0"/>
    </xf>
    <xf numFmtId="0" fontId="0" fillId="3" borderId="0" xfId="0" applyFill="1" applyAlignment="1" applyProtection="1">
      <alignment horizontal="left"/>
      <protection locked="0"/>
    </xf>
    <xf numFmtId="0" fontId="2" fillId="3" borderId="0" xfId="0" applyFont="1" applyFill="1" applyAlignment="1" applyProtection="1">
      <alignment horizontal="left"/>
      <protection locked="0"/>
    </xf>
    <xf numFmtId="0" fontId="3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left"/>
    </xf>
    <xf numFmtId="0" fontId="2" fillId="3" borderId="19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1" fontId="2" fillId="0" borderId="0" xfId="0" applyNumberFormat="1" applyFont="1" applyAlignment="1">
      <alignment horizontal="right"/>
    </xf>
    <xf numFmtId="0" fontId="16" fillId="0" borderId="0" xfId="0" applyFont="1" applyAlignment="1">
      <alignment horizontal="center"/>
    </xf>
    <xf numFmtId="0" fontId="0" fillId="0" borderId="0" xfId="0" applyAlignment="1">
      <alignment horizontal="left"/>
    </xf>
    <xf numFmtId="0" fontId="3" fillId="0" borderId="5" xfId="0" applyFont="1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1" fillId="3" borderId="0" xfId="0" applyFont="1" applyFill="1" applyProtection="1">
      <protection locked="0"/>
    </xf>
    <xf numFmtId="0" fontId="5" fillId="0" borderId="0" xfId="0" applyFont="1" applyAlignment="1">
      <alignment horizontal="center"/>
    </xf>
    <xf numFmtId="0" fontId="0" fillId="0" borderId="5" xfId="0" applyBorder="1"/>
    <xf numFmtId="0" fontId="0" fillId="0" borderId="5" xfId="0" applyBorder="1" applyAlignment="1">
      <alignment horizontal="center"/>
    </xf>
    <xf numFmtId="0" fontId="2" fillId="3" borderId="0" xfId="0" applyFont="1" applyFill="1" applyProtection="1">
      <protection locked="0"/>
    </xf>
    <xf numFmtId="0" fontId="7" fillId="0" borderId="0" xfId="0" applyFont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3" fillId="0" borderId="0" xfId="0" applyFont="1"/>
  </cellXfs>
  <cellStyles count="3">
    <cellStyle name="Hyperlink" xfId="2" builtinId="8"/>
    <cellStyle name="Normal" xfId="0" builtinId="0"/>
    <cellStyle name="Percent" xfId="1" builtinId="5"/>
  </cellStyles>
  <dxfs count="5">
    <dxf>
      <font>
        <b/>
        <i val="0"/>
        <color rgb="FFFF0000"/>
      </font>
    </dxf>
    <dxf>
      <font>
        <b val="0"/>
        <i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66675</xdr:rowOff>
    </xdr:from>
    <xdr:to>
      <xdr:col>2</xdr:col>
      <xdr:colOff>885825</xdr:colOff>
      <xdr:row>8</xdr:row>
      <xdr:rowOff>142875</xdr:rowOff>
    </xdr:to>
    <xdr:pic>
      <xdr:nvPicPr>
        <xdr:cNvPr id="7369" name="Image 2" descr="LOGO VETOQUINOL 2015 CMYK TAGLINE.jpg">
          <a:extLst>
            <a:ext uri="{FF2B5EF4-FFF2-40B4-BE49-F238E27FC236}">
              <a16:creationId xmlns:a16="http://schemas.microsoft.com/office/drawing/2014/main" id="{00000000-0008-0000-0000-0000C9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90525"/>
          <a:ext cx="254317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1047750</xdr:colOff>
      <xdr:row>26</xdr:row>
      <xdr:rowOff>19050</xdr:rowOff>
    </xdr:from>
    <xdr:to>
      <xdr:col>1</xdr:col>
      <xdr:colOff>38100</xdr:colOff>
      <xdr:row>28</xdr:row>
      <xdr:rowOff>0</xdr:rowOff>
    </xdr:to>
    <xdr:sp macro="" textlink="">
      <xdr:nvSpPr>
        <xdr:cNvPr id="20988" name="AutoShape 13">
          <a:extLst>
            <a:ext uri="{FF2B5EF4-FFF2-40B4-BE49-F238E27FC236}">
              <a16:creationId xmlns:a16="http://schemas.microsoft.com/office/drawing/2014/main" id="{00000000-0008-0000-0100-0000FC510000}"/>
            </a:ext>
          </a:extLst>
        </xdr:cNvPr>
        <xdr:cNvSpPr>
          <a:spLocks/>
        </xdr:cNvSpPr>
      </xdr:nvSpPr>
      <xdr:spPr bwMode="auto">
        <a:xfrm>
          <a:off x="1047750" y="4505325"/>
          <a:ext cx="76200" cy="323850"/>
        </a:xfrm>
        <a:prstGeom prst="rightBrace">
          <a:avLst>
            <a:gd name="adj1" fmla="val 33331"/>
            <a:gd name="adj2" fmla="val 5294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1047750</xdr:colOff>
      <xdr:row>28</xdr:row>
      <xdr:rowOff>9525</xdr:rowOff>
    </xdr:from>
    <xdr:to>
      <xdr:col>1</xdr:col>
      <xdr:colOff>38100</xdr:colOff>
      <xdr:row>29</xdr:row>
      <xdr:rowOff>161925</xdr:rowOff>
    </xdr:to>
    <xdr:sp macro="" textlink="">
      <xdr:nvSpPr>
        <xdr:cNvPr id="20990" name="AutoShape 13">
          <a:extLst>
            <a:ext uri="{FF2B5EF4-FFF2-40B4-BE49-F238E27FC236}">
              <a16:creationId xmlns:a16="http://schemas.microsoft.com/office/drawing/2014/main" id="{00000000-0008-0000-0100-0000FE510000}"/>
            </a:ext>
          </a:extLst>
        </xdr:cNvPr>
        <xdr:cNvSpPr>
          <a:spLocks/>
        </xdr:cNvSpPr>
      </xdr:nvSpPr>
      <xdr:spPr bwMode="auto">
        <a:xfrm>
          <a:off x="1047750" y="5181600"/>
          <a:ext cx="76200" cy="323850"/>
        </a:xfrm>
        <a:prstGeom prst="rightBrace">
          <a:avLst>
            <a:gd name="adj1" fmla="val 34374"/>
            <a:gd name="adj2" fmla="val 5294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1047750</xdr:colOff>
      <xdr:row>33</xdr:row>
      <xdr:rowOff>9525</xdr:rowOff>
    </xdr:from>
    <xdr:to>
      <xdr:col>1</xdr:col>
      <xdr:colOff>38100</xdr:colOff>
      <xdr:row>34</xdr:row>
      <xdr:rowOff>161925</xdr:rowOff>
    </xdr:to>
    <xdr:sp macro="" textlink="">
      <xdr:nvSpPr>
        <xdr:cNvPr id="20993" name="AutoShape 13">
          <a:extLst>
            <a:ext uri="{FF2B5EF4-FFF2-40B4-BE49-F238E27FC236}">
              <a16:creationId xmlns:a16="http://schemas.microsoft.com/office/drawing/2014/main" id="{00000000-0008-0000-0100-000001520000}"/>
            </a:ext>
          </a:extLst>
        </xdr:cNvPr>
        <xdr:cNvSpPr>
          <a:spLocks/>
        </xdr:cNvSpPr>
      </xdr:nvSpPr>
      <xdr:spPr bwMode="auto">
        <a:xfrm>
          <a:off x="1047750" y="6724650"/>
          <a:ext cx="76200" cy="323850"/>
        </a:xfrm>
        <a:prstGeom prst="rightBrace">
          <a:avLst>
            <a:gd name="adj1" fmla="val 34374"/>
            <a:gd name="adj2" fmla="val 5294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1047750</xdr:colOff>
      <xdr:row>35</xdr:row>
      <xdr:rowOff>19050</xdr:rowOff>
    </xdr:from>
    <xdr:to>
      <xdr:col>1</xdr:col>
      <xdr:colOff>38100</xdr:colOff>
      <xdr:row>37</xdr:row>
      <xdr:rowOff>0</xdr:rowOff>
    </xdr:to>
    <xdr:sp macro="" textlink="">
      <xdr:nvSpPr>
        <xdr:cNvPr id="20994" name="AutoShape 13">
          <a:extLst>
            <a:ext uri="{FF2B5EF4-FFF2-40B4-BE49-F238E27FC236}">
              <a16:creationId xmlns:a16="http://schemas.microsoft.com/office/drawing/2014/main" id="{00000000-0008-0000-0100-000002520000}"/>
            </a:ext>
          </a:extLst>
        </xdr:cNvPr>
        <xdr:cNvSpPr>
          <a:spLocks/>
        </xdr:cNvSpPr>
      </xdr:nvSpPr>
      <xdr:spPr bwMode="auto">
        <a:xfrm>
          <a:off x="1047750" y="7077075"/>
          <a:ext cx="76200" cy="323850"/>
        </a:xfrm>
        <a:prstGeom prst="rightBrace">
          <a:avLst>
            <a:gd name="adj1" fmla="val 33331"/>
            <a:gd name="adj2" fmla="val 5294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1047750</xdr:colOff>
      <xdr:row>37</xdr:row>
      <xdr:rowOff>19050</xdr:rowOff>
    </xdr:from>
    <xdr:to>
      <xdr:col>1</xdr:col>
      <xdr:colOff>38100</xdr:colOff>
      <xdr:row>39</xdr:row>
      <xdr:rowOff>152400</xdr:rowOff>
    </xdr:to>
    <xdr:sp macro="" textlink="">
      <xdr:nvSpPr>
        <xdr:cNvPr id="20996" name="AutoShape 15">
          <a:extLst>
            <a:ext uri="{FF2B5EF4-FFF2-40B4-BE49-F238E27FC236}">
              <a16:creationId xmlns:a16="http://schemas.microsoft.com/office/drawing/2014/main" id="{00000000-0008-0000-0100-000004520000}"/>
            </a:ext>
          </a:extLst>
        </xdr:cNvPr>
        <xdr:cNvSpPr>
          <a:spLocks/>
        </xdr:cNvSpPr>
      </xdr:nvSpPr>
      <xdr:spPr bwMode="auto">
        <a:xfrm>
          <a:off x="1047750" y="7419975"/>
          <a:ext cx="76200" cy="476250"/>
        </a:xfrm>
        <a:prstGeom prst="rightBrace">
          <a:avLst>
            <a:gd name="adj1" fmla="val 50000"/>
            <a:gd name="adj2" fmla="val 54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1060450</xdr:colOff>
      <xdr:row>30</xdr:row>
      <xdr:rowOff>19050</xdr:rowOff>
    </xdr:from>
    <xdr:to>
      <xdr:col>1</xdr:col>
      <xdr:colOff>50800</xdr:colOff>
      <xdr:row>32</xdr:row>
      <xdr:rowOff>152400</xdr:rowOff>
    </xdr:to>
    <xdr:sp macro="" textlink="">
      <xdr:nvSpPr>
        <xdr:cNvPr id="20997" name="AutoShape 15">
          <a:extLst>
            <a:ext uri="{FF2B5EF4-FFF2-40B4-BE49-F238E27FC236}">
              <a16:creationId xmlns:a16="http://schemas.microsoft.com/office/drawing/2014/main" id="{00000000-0008-0000-0100-000005520000}"/>
            </a:ext>
          </a:extLst>
        </xdr:cNvPr>
        <xdr:cNvSpPr>
          <a:spLocks/>
        </xdr:cNvSpPr>
      </xdr:nvSpPr>
      <xdr:spPr bwMode="auto">
        <a:xfrm>
          <a:off x="1060450" y="5099050"/>
          <a:ext cx="133350" cy="476250"/>
        </a:xfrm>
        <a:prstGeom prst="rightBrace">
          <a:avLst>
            <a:gd name="adj1" fmla="val 50000"/>
            <a:gd name="adj2" fmla="val 54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1047750</xdr:colOff>
      <xdr:row>28</xdr:row>
      <xdr:rowOff>9525</xdr:rowOff>
    </xdr:from>
    <xdr:to>
      <xdr:col>11</xdr:col>
      <xdr:colOff>38100</xdr:colOff>
      <xdr:row>29</xdr:row>
      <xdr:rowOff>161925</xdr:rowOff>
    </xdr:to>
    <xdr:sp macro="" textlink="">
      <xdr:nvSpPr>
        <xdr:cNvPr id="20999" name="AutoShape 13">
          <a:extLst>
            <a:ext uri="{FF2B5EF4-FFF2-40B4-BE49-F238E27FC236}">
              <a16:creationId xmlns:a16="http://schemas.microsoft.com/office/drawing/2014/main" id="{00000000-0008-0000-0100-000007520000}"/>
            </a:ext>
          </a:extLst>
        </xdr:cNvPr>
        <xdr:cNvSpPr>
          <a:spLocks/>
        </xdr:cNvSpPr>
      </xdr:nvSpPr>
      <xdr:spPr bwMode="auto">
        <a:xfrm>
          <a:off x="7038975" y="5181600"/>
          <a:ext cx="76200" cy="323850"/>
        </a:xfrm>
        <a:prstGeom prst="rightBrace">
          <a:avLst>
            <a:gd name="adj1" fmla="val 34374"/>
            <a:gd name="adj2" fmla="val 5294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1047750</xdr:colOff>
      <xdr:row>33</xdr:row>
      <xdr:rowOff>9525</xdr:rowOff>
    </xdr:from>
    <xdr:to>
      <xdr:col>11</xdr:col>
      <xdr:colOff>38100</xdr:colOff>
      <xdr:row>34</xdr:row>
      <xdr:rowOff>161925</xdr:rowOff>
    </xdr:to>
    <xdr:sp macro="" textlink="">
      <xdr:nvSpPr>
        <xdr:cNvPr id="21002" name="AutoShape 13">
          <a:extLst>
            <a:ext uri="{FF2B5EF4-FFF2-40B4-BE49-F238E27FC236}">
              <a16:creationId xmlns:a16="http://schemas.microsoft.com/office/drawing/2014/main" id="{00000000-0008-0000-0100-00000A520000}"/>
            </a:ext>
          </a:extLst>
        </xdr:cNvPr>
        <xdr:cNvSpPr>
          <a:spLocks/>
        </xdr:cNvSpPr>
      </xdr:nvSpPr>
      <xdr:spPr bwMode="auto">
        <a:xfrm>
          <a:off x="7038975" y="6724650"/>
          <a:ext cx="76200" cy="323850"/>
        </a:xfrm>
        <a:prstGeom prst="rightBrace">
          <a:avLst>
            <a:gd name="adj1" fmla="val 34374"/>
            <a:gd name="adj2" fmla="val 5294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1047750</xdr:colOff>
      <xdr:row>35</xdr:row>
      <xdr:rowOff>19050</xdr:rowOff>
    </xdr:from>
    <xdr:to>
      <xdr:col>11</xdr:col>
      <xdr:colOff>38100</xdr:colOff>
      <xdr:row>37</xdr:row>
      <xdr:rowOff>0</xdr:rowOff>
    </xdr:to>
    <xdr:sp macro="" textlink="">
      <xdr:nvSpPr>
        <xdr:cNvPr id="21003" name="AutoShape 13">
          <a:extLst>
            <a:ext uri="{FF2B5EF4-FFF2-40B4-BE49-F238E27FC236}">
              <a16:creationId xmlns:a16="http://schemas.microsoft.com/office/drawing/2014/main" id="{00000000-0008-0000-0100-00000B520000}"/>
            </a:ext>
          </a:extLst>
        </xdr:cNvPr>
        <xdr:cNvSpPr>
          <a:spLocks/>
        </xdr:cNvSpPr>
      </xdr:nvSpPr>
      <xdr:spPr bwMode="auto">
        <a:xfrm>
          <a:off x="7038975" y="7077075"/>
          <a:ext cx="76200" cy="323850"/>
        </a:xfrm>
        <a:prstGeom prst="rightBrace">
          <a:avLst>
            <a:gd name="adj1" fmla="val 33331"/>
            <a:gd name="adj2" fmla="val 5294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1047750</xdr:colOff>
      <xdr:row>37</xdr:row>
      <xdr:rowOff>19050</xdr:rowOff>
    </xdr:from>
    <xdr:to>
      <xdr:col>11</xdr:col>
      <xdr:colOff>38100</xdr:colOff>
      <xdr:row>39</xdr:row>
      <xdr:rowOff>152400</xdr:rowOff>
    </xdr:to>
    <xdr:sp macro="" textlink="">
      <xdr:nvSpPr>
        <xdr:cNvPr id="21004" name="AutoShape 15">
          <a:extLst>
            <a:ext uri="{FF2B5EF4-FFF2-40B4-BE49-F238E27FC236}">
              <a16:creationId xmlns:a16="http://schemas.microsoft.com/office/drawing/2014/main" id="{00000000-0008-0000-0100-00000C520000}"/>
            </a:ext>
          </a:extLst>
        </xdr:cNvPr>
        <xdr:cNvSpPr>
          <a:spLocks/>
        </xdr:cNvSpPr>
      </xdr:nvSpPr>
      <xdr:spPr bwMode="auto">
        <a:xfrm>
          <a:off x="7038975" y="7419975"/>
          <a:ext cx="76200" cy="476250"/>
        </a:xfrm>
        <a:prstGeom prst="rightBrace">
          <a:avLst>
            <a:gd name="adj1" fmla="val 50000"/>
            <a:gd name="adj2" fmla="val 54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1047750</xdr:colOff>
      <xdr:row>30</xdr:row>
      <xdr:rowOff>19050</xdr:rowOff>
    </xdr:from>
    <xdr:to>
      <xdr:col>11</xdr:col>
      <xdr:colOff>38100</xdr:colOff>
      <xdr:row>32</xdr:row>
      <xdr:rowOff>152400</xdr:rowOff>
    </xdr:to>
    <xdr:sp macro="" textlink="">
      <xdr:nvSpPr>
        <xdr:cNvPr id="21005" name="AutoShape 15">
          <a:extLst>
            <a:ext uri="{FF2B5EF4-FFF2-40B4-BE49-F238E27FC236}">
              <a16:creationId xmlns:a16="http://schemas.microsoft.com/office/drawing/2014/main" id="{00000000-0008-0000-0100-00000D520000}"/>
            </a:ext>
          </a:extLst>
        </xdr:cNvPr>
        <xdr:cNvSpPr>
          <a:spLocks/>
        </xdr:cNvSpPr>
      </xdr:nvSpPr>
      <xdr:spPr bwMode="auto">
        <a:xfrm>
          <a:off x="7038975" y="6219825"/>
          <a:ext cx="76200" cy="476250"/>
        </a:xfrm>
        <a:prstGeom prst="rightBrace">
          <a:avLst>
            <a:gd name="adj1" fmla="val 50000"/>
            <a:gd name="adj2" fmla="val 54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1047750</xdr:colOff>
      <xdr:row>35</xdr:row>
      <xdr:rowOff>19050</xdr:rowOff>
    </xdr:from>
    <xdr:to>
      <xdr:col>11</xdr:col>
      <xdr:colOff>38100</xdr:colOff>
      <xdr:row>37</xdr:row>
      <xdr:rowOff>0</xdr:rowOff>
    </xdr:to>
    <xdr:sp macro="" textlink="">
      <xdr:nvSpPr>
        <xdr:cNvPr id="21006" name="AutoShape 13">
          <a:extLst>
            <a:ext uri="{FF2B5EF4-FFF2-40B4-BE49-F238E27FC236}">
              <a16:creationId xmlns:a16="http://schemas.microsoft.com/office/drawing/2014/main" id="{00000000-0008-0000-0100-00000E520000}"/>
            </a:ext>
          </a:extLst>
        </xdr:cNvPr>
        <xdr:cNvSpPr>
          <a:spLocks/>
        </xdr:cNvSpPr>
      </xdr:nvSpPr>
      <xdr:spPr bwMode="auto">
        <a:xfrm>
          <a:off x="7038975" y="7077075"/>
          <a:ext cx="76200" cy="323850"/>
        </a:xfrm>
        <a:prstGeom prst="rightBrace">
          <a:avLst>
            <a:gd name="adj1" fmla="val 33331"/>
            <a:gd name="adj2" fmla="val 5294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1047750</xdr:colOff>
      <xdr:row>26</xdr:row>
      <xdr:rowOff>9525</xdr:rowOff>
    </xdr:from>
    <xdr:to>
      <xdr:col>11</xdr:col>
      <xdr:colOff>38100</xdr:colOff>
      <xdr:row>27</xdr:row>
      <xdr:rowOff>161925</xdr:rowOff>
    </xdr:to>
    <xdr:sp macro="" textlink="">
      <xdr:nvSpPr>
        <xdr:cNvPr id="21007" name="AutoShape 13">
          <a:extLst>
            <a:ext uri="{FF2B5EF4-FFF2-40B4-BE49-F238E27FC236}">
              <a16:creationId xmlns:a16="http://schemas.microsoft.com/office/drawing/2014/main" id="{00000000-0008-0000-0100-00000F520000}"/>
            </a:ext>
          </a:extLst>
        </xdr:cNvPr>
        <xdr:cNvSpPr>
          <a:spLocks/>
        </xdr:cNvSpPr>
      </xdr:nvSpPr>
      <xdr:spPr bwMode="auto">
        <a:xfrm>
          <a:off x="7038975" y="4495800"/>
          <a:ext cx="76200" cy="323850"/>
        </a:xfrm>
        <a:prstGeom prst="rightBrace">
          <a:avLst>
            <a:gd name="adj1" fmla="val 34374"/>
            <a:gd name="adj2" fmla="val 5294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411480</xdr:colOff>
      <xdr:row>4</xdr:row>
      <xdr:rowOff>91440</xdr:rowOff>
    </xdr:from>
    <xdr:to>
      <xdr:col>8</xdr:col>
      <xdr:colOff>240665</xdr:colOff>
      <xdr:row>11</xdr:row>
      <xdr:rowOff>55245</xdr:rowOff>
    </xdr:to>
    <xdr:pic>
      <xdr:nvPicPr>
        <xdr:cNvPr id="21008" name="Image 23" descr="LOGO VETOQUINOL 2015 CMYK TAGLINE.jpg">
          <a:extLst>
            <a:ext uri="{FF2B5EF4-FFF2-40B4-BE49-F238E27FC236}">
              <a16:creationId xmlns:a16="http://schemas.microsoft.com/office/drawing/2014/main" id="{00000000-0008-0000-0100-0000105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2780" y="914400"/>
          <a:ext cx="2628900" cy="1083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209550</xdr:colOff>
      <xdr:row>5</xdr:row>
      <xdr:rowOff>19050</xdr:rowOff>
    </xdr:from>
    <xdr:to>
      <xdr:col>17</xdr:col>
      <xdr:colOff>673100</xdr:colOff>
      <xdr:row>11</xdr:row>
      <xdr:rowOff>139700</xdr:rowOff>
    </xdr:to>
    <xdr:pic>
      <xdr:nvPicPr>
        <xdr:cNvPr id="21009" name="Image 24" descr="LOGO VETOQUINOL 2015 CMYK TAGLINE.jpg">
          <a:extLst>
            <a:ext uri="{FF2B5EF4-FFF2-40B4-BE49-F238E27FC236}">
              <a16:creationId xmlns:a16="http://schemas.microsoft.com/office/drawing/2014/main" id="{00000000-0008-0000-0100-0000115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39275" y="1009650"/>
          <a:ext cx="25241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1047750</xdr:colOff>
      <xdr:row>28</xdr:row>
      <xdr:rowOff>19050</xdr:rowOff>
    </xdr:from>
    <xdr:to>
      <xdr:col>1</xdr:col>
      <xdr:colOff>38100</xdr:colOff>
      <xdr:row>30</xdr:row>
      <xdr:rowOff>0</xdr:rowOff>
    </xdr:to>
    <xdr:sp macro="" textlink="">
      <xdr:nvSpPr>
        <xdr:cNvPr id="24" name="AutoShape 1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>
          <a:spLocks/>
        </xdr:cNvSpPr>
      </xdr:nvSpPr>
      <xdr:spPr bwMode="auto">
        <a:xfrm>
          <a:off x="1047750" y="4453890"/>
          <a:ext cx="110490" cy="316230"/>
        </a:xfrm>
        <a:prstGeom prst="rightBrace">
          <a:avLst>
            <a:gd name="adj1" fmla="val 33331"/>
            <a:gd name="adj2" fmla="val 5294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295275</xdr:colOff>
      <xdr:row>7</xdr:row>
      <xdr:rowOff>9525</xdr:rowOff>
    </xdr:from>
    <xdr:to>
      <xdr:col>7</xdr:col>
      <xdr:colOff>679450</xdr:colOff>
      <xdr:row>13</xdr:row>
      <xdr:rowOff>85725</xdr:rowOff>
    </xdr:to>
    <xdr:pic>
      <xdr:nvPicPr>
        <xdr:cNvPr id="9367" name="Image 2" descr="LOGO VETOQUINOL 2015 CMYK TAGLINE.jpg">
          <a:extLst>
            <a:ext uri="{FF2B5EF4-FFF2-40B4-BE49-F238E27FC236}">
              <a16:creationId xmlns:a16="http://schemas.microsoft.com/office/drawing/2014/main" id="{00000000-0008-0000-0200-0000972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6150" y="1333500"/>
          <a:ext cx="255270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533400</xdr:colOff>
      <xdr:row>5</xdr:row>
      <xdr:rowOff>0</xdr:rowOff>
    </xdr:from>
    <xdr:to>
      <xdr:col>9</xdr:col>
      <xdr:colOff>0</xdr:colOff>
      <xdr:row>11</xdr:row>
      <xdr:rowOff>123825</xdr:rowOff>
    </xdr:to>
    <xdr:pic>
      <xdr:nvPicPr>
        <xdr:cNvPr id="22" name="Image 23" descr="LOGO VETOQUINOL 2015 CMYK TAGLINE.jpg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14700" y="982980"/>
          <a:ext cx="2628900" cy="1083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209550</xdr:colOff>
      <xdr:row>5</xdr:row>
      <xdr:rowOff>19050</xdr:rowOff>
    </xdr:from>
    <xdr:to>
      <xdr:col>17</xdr:col>
      <xdr:colOff>676275</xdr:colOff>
      <xdr:row>11</xdr:row>
      <xdr:rowOff>142875</xdr:rowOff>
    </xdr:to>
    <xdr:pic>
      <xdr:nvPicPr>
        <xdr:cNvPr id="23" name="Image 24" descr="LOGO VETOQUINOL 2015 CMYK TAGLINE.jpg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04070" y="1002030"/>
          <a:ext cx="2592705" cy="1083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533400</xdr:colOff>
      <xdr:row>5</xdr:row>
      <xdr:rowOff>0</xdr:rowOff>
    </xdr:from>
    <xdr:to>
      <xdr:col>8</xdr:col>
      <xdr:colOff>358140</xdr:colOff>
      <xdr:row>11</xdr:row>
      <xdr:rowOff>123825</xdr:rowOff>
    </xdr:to>
    <xdr:pic>
      <xdr:nvPicPr>
        <xdr:cNvPr id="2" name="Image 23" descr="LOGO VETOQUINOL 2015 CMYK TAGLINE.jpg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14700" y="982980"/>
          <a:ext cx="2628900" cy="1083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1:C22"/>
  <sheetViews>
    <sheetView showGridLines="0" zoomScaleNormal="100" workbookViewId="0">
      <selection activeCell="C22" sqref="C22"/>
    </sheetView>
  </sheetViews>
  <sheetFormatPr defaultColWidth="9.08984375" defaultRowHeight="12.5" x14ac:dyDescent="0.25"/>
  <cols>
    <col min="2" max="2" width="24.90625" customWidth="1"/>
    <col min="3" max="3" width="38.6328125" customWidth="1"/>
    <col min="4" max="7" width="9.08984375" customWidth="1"/>
    <col min="8" max="8" width="9" customWidth="1"/>
  </cols>
  <sheetData>
    <row r="11" spans="2:3" ht="23" x14ac:dyDescent="0.5">
      <c r="B11" s="4" t="s">
        <v>37</v>
      </c>
    </row>
    <row r="12" spans="2:3" ht="23" x14ac:dyDescent="0.5">
      <c r="B12" s="4"/>
    </row>
    <row r="14" spans="2:3" ht="18" x14ac:dyDescent="0.4">
      <c r="B14" s="38"/>
      <c r="C14" s="39"/>
    </row>
    <row r="15" spans="2:3" ht="18.5" thickBot="1" x14ac:dyDescent="0.45">
      <c r="B15" s="38" t="s">
        <v>22</v>
      </c>
      <c r="C15" s="40"/>
    </row>
    <row r="16" spans="2:3" ht="12.75" customHeight="1" thickTop="1" x14ac:dyDescent="0.4">
      <c r="B16" s="38"/>
      <c r="C16" s="39"/>
    </row>
    <row r="17" spans="2:3" ht="13" x14ac:dyDescent="0.3">
      <c r="B17" s="3" t="s">
        <v>12</v>
      </c>
      <c r="C17" s="113"/>
    </row>
    <row r="18" spans="2:3" ht="13" x14ac:dyDescent="0.3">
      <c r="B18" s="3" t="s">
        <v>13</v>
      </c>
      <c r="C18" s="113"/>
    </row>
    <row r="19" spans="2:3" ht="13" x14ac:dyDescent="0.3">
      <c r="B19" s="3" t="s">
        <v>63</v>
      </c>
      <c r="C19" s="113"/>
    </row>
    <row r="20" spans="2:3" ht="13" x14ac:dyDescent="0.3">
      <c r="B20" s="3" t="s">
        <v>14</v>
      </c>
      <c r="C20" s="111"/>
    </row>
    <row r="21" spans="2:3" ht="13" x14ac:dyDescent="0.3">
      <c r="B21" s="3" t="s">
        <v>88</v>
      </c>
      <c r="C21" s="113"/>
    </row>
    <row r="22" spans="2:3" ht="13" x14ac:dyDescent="0.3">
      <c r="B22" s="3" t="s">
        <v>89</v>
      </c>
      <c r="C22" s="114"/>
    </row>
  </sheetData>
  <sheetProtection selectLockedCells="1"/>
  <phoneticPr fontId="0" type="noConversion"/>
  <pageMargins left="0.74803149606299213" right="0.74803149606299213" top="0.98425196850393704" bottom="0.98425196850393704" header="0.51181102362204722" footer="0.51181102362204722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94"/>
  <sheetViews>
    <sheetView showGridLines="0" tabSelected="1" topLeftCell="A11" zoomScale="130" zoomScaleNormal="130" workbookViewId="0">
      <selection activeCell="F18" sqref="F18"/>
    </sheetView>
  </sheetViews>
  <sheetFormatPr defaultColWidth="11.453125" defaultRowHeight="12.5" x14ac:dyDescent="0.25"/>
  <cols>
    <col min="1" max="1" width="16.36328125" customWidth="1"/>
    <col min="2" max="2" width="9.08984375" style="1" bestFit="1" customWidth="1"/>
    <col min="3" max="3" width="6" style="1" customWidth="1"/>
    <col min="4" max="4" width="9.08984375" style="2" bestFit="1" customWidth="1"/>
    <col min="5" max="5" width="12.08984375" style="2" bestFit="1" customWidth="1"/>
    <col min="6" max="6" width="11.6328125" customWidth="1"/>
    <col min="7" max="7" width="5.36328125" customWidth="1"/>
    <col min="8" max="8" width="11.6328125" customWidth="1"/>
    <col min="9" max="9" width="5.36328125" customWidth="1"/>
    <col min="10" max="10" width="3.08984375" customWidth="1"/>
    <col min="11" max="11" width="16.36328125" customWidth="1"/>
    <col min="12" max="13" width="10.36328125" style="2" customWidth="1"/>
    <col min="14" max="14" width="11.6328125" style="2" customWidth="1"/>
    <col min="15" max="18" width="10.36328125" customWidth="1"/>
  </cols>
  <sheetData>
    <row r="1" spans="1:18" ht="12.75" customHeight="1" x14ac:dyDescent="0.25">
      <c r="B1"/>
      <c r="C1"/>
      <c r="D1"/>
      <c r="E1"/>
      <c r="L1"/>
      <c r="M1"/>
      <c r="N1"/>
    </row>
    <row r="2" spans="1:18" ht="23" x14ac:dyDescent="0.5">
      <c r="A2" s="4" t="s">
        <v>45</v>
      </c>
      <c r="K2" s="4" t="s">
        <v>45</v>
      </c>
      <c r="L2" s="1"/>
      <c r="M2" s="1"/>
    </row>
    <row r="3" spans="1:18" x14ac:dyDescent="0.25">
      <c r="L3" s="1"/>
      <c r="M3" s="1"/>
    </row>
    <row r="4" spans="1:18" ht="16" thickBot="1" x14ac:dyDescent="0.4">
      <c r="A4" s="179" t="s">
        <v>22</v>
      </c>
      <c r="B4" s="179"/>
      <c r="C4" s="179"/>
      <c r="D4" s="179"/>
      <c r="E4" s="179"/>
      <c r="H4" s="193" t="s">
        <v>50</v>
      </c>
      <c r="I4" s="193"/>
      <c r="J4" s="25"/>
      <c r="K4" s="179" t="s">
        <v>22</v>
      </c>
      <c r="L4" s="179"/>
      <c r="M4" s="179"/>
      <c r="N4" s="179"/>
      <c r="O4" s="7"/>
      <c r="Q4" s="193" t="s">
        <v>50</v>
      </c>
      <c r="R4" s="193"/>
    </row>
    <row r="5" spans="1:18" ht="12.75" customHeight="1" thickTop="1" x14ac:dyDescent="0.25">
      <c r="F5" s="26"/>
      <c r="G5" s="26"/>
      <c r="H5" s="32">
        <f>F15*F16</f>
        <v>0</v>
      </c>
      <c r="I5" s="25" t="s">
        <v>23</v>
      </c>
      <c r="J5" s="25"/>
      <c r="L5" s="1"/>
      <c r="M5" s="1"/>
      <c r="O5" s="19"/>
      <c r="P5" s="19"/>
      <c r="Q5" s="41"/>
      <c r="R5" s="19"/>
    </row>
    <row r="6" spans="1:18" ht="12.75" customHeight="1" x14ac:dyDescent="0.3">
      <c r="A6" s="3" t="s">
        <v>12</v>
      </c>
      <c r="B6" s="194" t="str">
        <f>IF(INFORMATION!C17&gt;0,INFORMATION!C17," ")</f>
        <v xml:space="preserve"> </v>
      </c>
      <c r="C6" s="194"/>
      <c r="D6" s="194"/>
      <c r="E6" s="194"/>
      <c r="H6" s="32">
        <f>H15*H16</f>
        <v>0</v>
      </c>
      <c r="I6" s="33" t="s">
        <v>24</v>
      </c>
      <c r="J6" s="33"/>
      <c r="K6" s="3" t="s">
        <v>12</v>
      </c>
      <c r="L6" s="194" t="str">
        <f t="shared" ref="L6:L11" si="0">B6</f>
        <v xml:space="preserve"> </v>
      </c>
      <c r="M6" s="194"/>
      <c r="N6" s="194"/>
      <c r="O6" s="194"/>
      <c r="P6" s="41"/>
      <c r="Q6" s="41"/>
      <c r="R6" s="42"/>
    </row>
    <row r="7" spans="1:18" ht="12.75" customHeight="1" x14ac:dyDescent="0.3">
      <c r="A7" s="3" t="s">
        <v>13</v>
      </c>
      <c r="B7" s="194" t="str">
        <f>IF(INFORMATION!C18&gt;0,INFORMATION!C18," ")</f>
        <v xml:space="preserve"> </v>
      </c>
      <c r="C7" s="194"/>
      <c r="D7" s="194"/>
      <c r="E7" s="194"/>
      <c r="H7" s="34">
        <f>IF(H6&gt;0,H6,H5*0.0929)</f>
        <v>0</v>
      </c>
      <c r="I7" s="33" t="s">
        <v>24</v>
      </c>
      <c r="J7" s="33"/>
      <c r="K7" s="3" t="s">
        <v>13</v>
      </c>
      <c r="L7" s="194" t="str">
        <f t="shared" si="0"/>
        <v xml:space="preserve"> </v>
      </c>
      <c r="M7" s="194"/>
      <c r="N7" s="194"/>
      <c r="O7" s="194"/>
      <c r="P7" s="41"/>
      <c r="Q7" s="43"/>
      <c r="R7" s="42"/>
    </row>
    <row r="8" spans="1:18" ht="12.75" customHeight="1" x14ac:dyDescent="0.3">
      <c r="A8" s="3" t="s">
        <v>63</v>
      </c>
      <c r="B8" s="194" t="str">
        <f>IF(INFORMATION!C19&gt;0,INFORMATION!C19," ")</f>
        <v xml:space="preserve"> </v>
      </c>
      <c r="C8" s="194"/>
      <c r="D8" s="194"/>
      <c r="E8" s="194"/>
      <c r="H8" s="193" t="s">
        <v>62</v>
      </c>
      <c r="I8" s="193"/>
      <c r="J8" s="25"/>
      <c r="K8" s="3" t="s">
        <v>63</v>
      </c>
      <c r="L8" s="194" t="str">
        <f t="shared" si="0"/>
        <v xml:space="preserve"> </v>
      </c>
      <c r="M8" s="194"/>
      <c r="N8" s="194"/>
      <c r="O8" s="194"/>
      <c r="P8" s="41"/>
      <c r="Q8" s="197"/>
      <c r="R8" s="197"/>
    </row>
    <row r="9" spans="1:18" ht="12.75" customHeight="1" x14ac:dyDescent="0.3">
      <c r="A9" s="3" t="s">
        <v>14</v>
      </c>
      <c r="B9" s="194" t="str">
        <f>IF(INFORMATION!C20&gt;0,INFORMATION!C20," ")</f>
        <v xml:space="preserve"> </v>
      </c>
      <c r="C9" s="194"/>
      <c r="D9" s="194"/>
      <c r="E9" s="194"/>
      <c r="H9" s="34">
        <f>F19-(F15*F16)</f>
        <v>0</v>
      </c>
      <c r="I9" s="25" t="s">
        <v>23</v>
      </c>
      <c r="J9" s="25"/>
      <c r="K9" s="3" t="s">
        <v>14</v>
      </c>
      <c r="L9" s="194" t="str">
        <f t="shared" si="0"/>
        <v xml:space="preserve"> </v>
      </c>
      <c r="M9" s="194"/>
      <c r="N9" s="194"/>
      <c r="O9" s="194"/>
      <c r="P9" s="41"/>
      <c r="Q9" s="43"/>
      <c r="R9" s="19"/>
    </row>
    <row r="10" spans="1:18" ht="12.75" customHeight="1" x14ac:dyDescent="0.3">
      <c r="A10" s="3" t="s">
        <v>64</v>
      </c>
      <c r="B10" s="194" t="str">
        <f>IF(INFORMATION!C21&gt;0,INFORMATION!C21," ")</f>
        <v xml:space="preserve"> </v>
      </c>
      <c r="C10" s="194"/>
      <c r="D10" s="194"/>
      <c r="E10" s="194"/>
      <c r="H10" s="32">
        <f>H19-(H15*H16)</f>
        <v>0</v>
      </c>
      <c r="I10" s="33" t="s">
        <v>24</v>
      </c>
      <c r="J10" s="33"/>
      <c r="K10" s="3" t="s">
        <v>64</v>
      </c>
      <c r="L10" s="194" t="str">
        <f t="shared" si="0"/>
        <v xml:space="preserve"> </v>
      </c>
      <c r="M10" s="194"/>
      <c r="N10" s="194"/>
      <c r="O10" s="194"/>
      <c r="P10" s="41"/>
      <c r="Q10" s="41"/>
      <c r="R10" s="42"/>
    </row>
    <row r="11" spans="1:18" ht="12.75" customHeight="1" x14ac:dyDescent="0.3">
      <c r="A11" s="3" t="s">
        <v>65</v>
      </c>
      <c r="B11" s="194" t="str">
        <f>IF(INFORMATION!C22&gt;0,INFORMATION!C22," ")</f>
        <v xml:space="preserve"> </v>
      </c>
      <c r="C11" s="194"/>
      <c r="D11" s="194"/>
      <c r="E11" s="194"/>
      <c r="H11" s="34">
        <f>IF(H19&gt;0,H19,H9*0.0929)</f>
        <v>0</v>
      </c>
      <c r="I11" s="33" t="s">
        <v>24</v>
      </c>
      <c r="J11" s="33"/>
      <c r="K11" s="3" t="s">
        <v>65</v>
      </c>
      <c r="L11" s="194" t="str">
        <f t="shared" si="0"/>
        <v xml:space="preserve"> </v>
      </c>
      <c r="M11" s="194"/>
      <c r="N11" s="194"/>
      <c r="O11" s="194"/>
      <c r="P11" s="41"/>
      <c r="Q11" s="43"/>
      <c r="R11" s="42"/>
    </row>
    <row r="12" spans="1:18" ht="12.75" customHeight="1" x14ac:dyDescent="0.25">
      <c r="F12" s="35"/>
      <c r="G12" s="35"/>
      <c r="L12" s="1"/>
      <c r="M12" s="1"/>
      <c r="O12" s="41"/>
      <c r="P12" s="41"/>
      <c r="Q12" s="41"/>
      <c r="R12" s="41"/>
    </row>
    <row r="13" spans="1:18" ht="16" thickBot="1" x14ac:dyDescent="0.4">
      <c r="A13" s="187" t="s">
        <v>84</v>
      </c>
      <c r="B13" s="187"/>
      <c r="C13" s="187"/>
      <c r="D13" s="37"/>
      <c r="E13" s="21"/>
      <c r="F13" s="195" t="s">
        <v>72</v>
      </c>
      <c r="G13" s="195"/>
      <c r="H13" s="195"/>
      <c r="I13" s="195"/>
      <c r="J13" s="21"/>
      <c r="K13" s="187" t="s">
        <v>84</v>
      </c>
      <c r="L13" s="187"/>
      <c r="M13" s="187"/>
      <c r="N13" s="37"/>
      <c r="O13" s="41"/>
      <c r="P13" s="41"/>
      <c r="Q13" s="41"/>
      <c r="R13" s="41"/>
    </row>
    <row r="14" spans="1:18" ht="12.75" customHeight="1" thickTop="1" x14ac:dyDescent="0.3">
      <c r="F14" s="188" t="s">
        <v>2</v>
      </c>
      <c r="G14" s="188"/>
      <c r="H14" s="189" t="s">
        <v>3</v>
      </c>
      <c r="I14" s="188"/>
      <c r="J14" s="6"/>
      <c r="O14" s="41"/>
      <c r="P14" s="41"/>
      <c r="Q14" s="41"/>
      <c r="R14" s="41"/>
    </row>
    <row r="15" spans="1:18" ht="12.75" customHeight="1" x14ac:dyDescent="0.3">
      <c r="A15" s="198"/>
      <c r="B15" s="183"/>
      <c r="C15" s="183"/>
      <c r="D15" s="175" t="s">
        <v>87</v>
      </c>
      <c r="E15" s="175"/>
      <c r="F15" s="109">
        <v>0</v>
      </c>
      <c r="G15" s="44"/>
      <c r="H15" s="89">
        <v>0</v>
      </c>
      <c r="I15" s="45"/>
      <c r="K15" s="184" t="str">
        <f>IF(A15&gt;0,A15," ")</f>
        <v xml:space="preserve"> </v>
      </c>
      <c r="L15" s="184"/>
      <c r="M15" s="184"/>
    </row>
    <row r="16" spans="1:18" ht="12.75" customHeight="1" x14ac:dyDescent="0.3">
      <c r="A16" s="182"/>
      <c r="B16" s="183"/>
      <c r="C16" s="183"/>
      <c r="D16" s="175" t="s">
        <v>1</v>
      </c>
      <c r="E16" s="175"/>
      <c r="F16" s="109">
        <v>0</v>
      </c>
      <c r="G16" s="44"/>
      <c r="H16" s="89">
        <v>0</v>
      </c>
      <c r="I16" s="45"/>
      <c r="K16" s="184" t="str">
        <f>IF(A16&gt;0,A16," ")</f>
        <v xml:space="preserve"> </v>
      </c>
      <c r="L16" s="184"/>
      <c r="M16" s="184"/>
    </row>
    <row r="17" spans="1:18" ht="12.75" customHeight="1" x14ac:dyDescent="0.3">
      <c r="A17" s="185"/>
      <c r="B17" s="185"/>
      <c r="C17" s="185"/>
      <c r="D17" s="175" t="s">
        <v>4</v>
      </c>
      <c r="E17" s="175"/>
      <c r="F17" s="109">
        <v>0</v>
      </c>
      <c r="G17" s="44"/>
      <c r="H17" s="89">
        <v>0</v>
      </c>
      <c r="I17" s="45"/>
      <c r="K17" s="184" t="str">
        <f>IF(A17&gt;0,A17," ")</f>
        <v xml:space="preserve"> </v>
      </c>
      <c r="L17" s="184"/>
      <c r="M17" s="184"/>
    </row>
    <row r="18" spans="1:18" ht="12.75" customHeight="1" x14ac:dyDescent="0.3">
      <c r="A18" s="1"/>
      <c r="D18" s="175" t="s">
        <v>95</v>
      </c>
      <c r="E18" s="175"/>
      <c r="F18" s="109">
        <v>0</v>
      </c>
      <c r="G18" s="44"/>
      <c r="H18" s="89">
        <v>0</v>
      </c>
      <c r="I18" s="45"/>
    </row>
    <row r="19" spans="1:18" ht="12.75" customHeight="1" x14ac:dyDescent="0.3">
      <c r="A19" s="46"/>
      <c r="B19" s="47"/>
      <c r="D19" s="175" t="s">
        <v>60</v>
      </c>
      <c r="E19" s="175"/>
      <c r="F19" s="41">
        <f>((((F15*2)+(F16*2))*F17)+(2*F15*F16))*F18</f>
        <v>0</v>
      </c>
      <c r="G19" s="19" t="s">
        <v>9</v>
      </c>
      <c r="H19">
        <f>((((H15*2)+(H16*2))*H17)+(2*H15*H16))*H18</f>
        <v>0</v>
      </c>
      <c r="I19" s="42" t="s">
        <v>10</v>
      </c>
      <c r="J19" s="48"/>
      <c r="K19" s="190" t="s">
        <v>75</v>
      </c>
      <c r="L19" s="190"/>
      <c r="M19" s="190"/>
      <c r="N19" s="190"/>
      <c r="O19" s="102">
        <v>15</v>
      </c>
    </row>
    <row r="20" spans="1:18" ht="12.75" customHeight="1" x14ac:dyDescent="0.3">
      <c r="A20" s="1"/>
      <c r="D20" s="175"/>
      <c r="E20" s="175"/>
      <c r="G20" s="19" t="s">
        <v>8</v>
      </c>
      <c r="H20" s="90">
        <f>IF(H19&gt;0,H19,F19*0.0929)</f>
        <v>0</v>
      </c>
      <c r="I20" s="49" t="s">
        <v>10</v>
      </c>
      <c r="J20" s="50"/>
    </row>
    <row r="21" spans="1:18" ht="12.75" customHeight="1" x14ac:dyDescent="0.3">
      <c r="A21" s="46"/>
      <c r="B21" s="51"/>
      <c r="C21" s="6"/>
      <c r="D21" s="191" t="s">
        <v>73</v>
      </c>
      <c r="E21" s="191"/>
      <c r="F21" s="191"/>
      <c r="G21" s="191"/>
      <c r="H21" s="43">
        <f>H11</f>
        <v>0</v>
      </c>
      <c r="I21" s="42" t="s">
        <v>10</v>
      </c>
      <c r="J21" s="42"/>
      <c r="K21" s="192" t="s">
        <v>76</v>
      </c>
      <c r="L21" s="192"/>
      <c r="M21" s="192"/>
      <c r="N21" s="192"/>
      <c r="O21" s="102">
        <v>20</v>
      </c>
      <c r="P21" s="2"/>
    </row>
    <row r="22" spans="1:18" ht="12.75" customHeight="1" x14ac:dyDescent="0.25">
      <c r="D22" s="175" t="s">
        <v>33</v>
      </c>
      <c r="E22" s="175"/>
      <c r="F22" s="41">
        <f>F15*F16*F17*F18</f>
        <v>0</v>
      </c>
      <c r="G22" s="19" t="s">
        <v>17</v>
      </c>
      <c r="H22">
        <f>H15*H16*H17*H18</f>
        <v>0</v>
      </c>
      <c r="I22" s="42" t="s">
        <v>11</v>
      </c>
      <c r="J22" s="48"/>
    </row>
    <row r="23" spans="1:18" ht="12.75" customHeight="1" x14ac:dyDescent="0.35">
      <c r="D23" s="175"/>
      <c r="E23" s="175"/>
      <c r="F23" s="35"/>
      <c r="G23" s="19" t="s">
        <v>8</v>
      </c>
      <c r="H23" s="90">
        <f>IF(H22&gt;0,H22,F22*0.0283)</f>
        <v>0</v>
      </c>
      <c r="I23" s="49" t="s">
        <v>11</v>
      </c>
      <c r="J23" s="50"/>
      <c r="K23" s="37"/>
      <c r="L23" s="37"/>
      <c r="M23" s="37"/>
      <c r="N23" s="186" t="s">
        <v>74</v>
      </c>
      <c r="O23" s="186"/>
      <c r="P23" s="186"/>
      <c r="Q23" s="186"/>
      <c r="R23" s="186"/>
    </row>
    <row r="24" spans="1:18" ht="12.75" customHeight="1" x14ac:dyDescent="0.35">
      <c r="D24"/>
      <c r="E24"/>
      <c r="F24" s="35"/>
      <c r="G24" s="2"/>
      <c r="K24" s="37"/>
      <c r="L24" s="37"/>
      <c r="M24" s="37"/>
      <c r="N24" s="186"/>
      <c r="O24" s="186"/>
      <c r="P24" s="186"/>
      <c r="Q24" s="186"/>
      <c r="R24" s="186"/>
    </row>
    <row r="25" spans="1:18" ht="12.75" customHeight="1" x14ac:dyDescent="0.35">
      <c r="F25" s="175" t="s">
        <v>52</v>
      </c>
      <c r="G25" s="175"/>
      <c r="H25" s="175"/>
      <c r="I25" s="91">
        <v>1</v>
      </c>
      <c r="J25" s="52"/>
      <c r="K25" s="7"/>
      <c r="L25" s="168" t="s">
        <v>83</v>
      </c>
      <c r="M25" s="170" t="s">
        <v>77</v>
      </c>
      <c r="N25" s="172" t="s">
        <v>81</v>
      </c>
      <c r="O25" s="170" t="s">
        <v>82</v>
      </c>
      <c r="P25" s="168" t="s">
        <v>78</v>
      </c>
      <c r="Q25" s="170" t="s">
        <v>79</v>
      </c>
      <c r="R25" s="168" t="s">
        <v>80</v>
      </c>
    </row>
    <row r="26" spans="1:18" ht="16" thickBot="1" x14ac:dyDescent="0.4">
      <c r="A26" s="179" t="s">
        <v>0</v>
      </c>
      <c r="B26" s="179"/>
      <c r="C26" s="179"/>
      <c r="D26" s="179"/>
      <c r="E26" s="179"/>
      <c r="F26" s="180" t="s">
        <v>55</v>
      </c>
      <c r="G26" s="180"/>
      <c r="H26" s="180" t="s">
        <v>56</v>
      </c>
      <c r="I26" s="180"/>
      <c r="J26" s="53"/>
      <c r="K26" s="36"/>
      <c r="L26" s="169"/>
      <c r="M26" s="171"/>
      <c r="N26" s="173"/>
      <c r="O26" s="171"/>
      <c r="P26" s="169"/>
      <c r="Q26" s="171"/>
      <c r="R26" s="169"/>
    </row>
    <row r="27" spans="1:18" ht="13.5" customHeight="1" thickTop="1" x14ac:dyDescent="0.25">
      <c r="A27" s="174" t="s">
        <v>46</v>
      </c>
      <c r="B27" s="176" t="s">
        <v>71</v>
      </c>
      <c r="C27" s="92">
        <v>0</v>
      </c>
      <c r="D27" s="54" t="s">
        <v>53</v>
      </c>
      <c r="E27" s="55" t="s">
        <v>38</v>
      </c>
      <c r="F27" s="103" t="str">
        <f>IF(C27=0,"0",(IF(H20&gt;0,H20,H21)*0.5*I25))</f>
        <v>0</v>
      </c>
      <c r="G27" s="2" t="s">
        <v>15</v>
      </c>
      <c r="H27" s="56" t="str">
        <f t="shared" ref="H27:H32" si="1">IF(F27*C27/1000&gt;0,F27*C27/1000,"-")</f>
        <v>-</v>
      </c>
      <c r="I27" s="2" t="s">
        <v>15</v>
      </c>
      <c r="J27" s="2"/>
      <c r="K27" s="174" t="s">
        <v>46</v>
      </c>
      <c r="L27" s="48" t="str">
        <f>F27</f>
        <v>0</v>
      </c>
      <c r="M27" s="57" t="str">
        <f>H27</f>
        <v>-</v>
      </c>
      <c r="N27" s="27" t="str">
        <f>IF(M27="-","-",(IFERROR(IF(L27/O19&lt;M27,"error",L27/O19),"-")))</f>
        <v>-</v>
      </c>
      <c r="O27" s="58" t="str">
        <f>IFERROR(ROUNDUP(N27/O21,0),"-")</f>
        <v>-</v>
      </c>
      <c r="P27" s="59" t="str">
        <f>IFERROR(N27/O27,"-")</f>
        <v>-</v>
      </c>
      <c r="Q27" s="60" t="str">
        <f>IFERROR(M27/O27,"-")</f>
        <v>-</v>
      </c>
      <c r="R27" s="59" t="str">
        <f>IFERROR(IF(P27-Q27=0,"0",P27-Q27),"-")</f>
        <v>-</v>
      </c>
    </row>
    <row r="28" spans="1:18" ht="13.5" customHeight="1" x14ac:dyDescent="0.25">
      <c r="A28" s="178"/>
      <c r="B28" s="177"/>
      <c r="C28" s="93">
        <v>0</v>
      </c>
      <c r="D28" s="61" t="s">
        <v>54</v>
      </c>
      <c r="E28" s="62" t="s">
        <v>39</v>
      </c>
      <c r="F28" s="104" t="str">
        <f>IF(C28=0,"0",(IF(H20&gt;0,H20,H21)*0.25*I25))</f>
        <v>0</v>
      </c>
      <c r="G28" s="63" t="s">
        <v>15</v>
      </c>
      <c r="H28" s="64" t="str">
        <f t="shared" si="1"/>
        <v>-</v>
      </c>
      <c r="I28" s="63" t="s">
        <v>15</v>
      </c>
      <c r="J28" s="2"/>
      <c r="K28" s="166"/>
      <c r="L28" s="65" t="str">
        <f t="shared" ref="L28:L39" si="2">F28</f>
        <v>0</v>
      </c>
      <c r="M28" s="66" t="str">
        <f t="shared" ref="M28:M39" si="3">H28</f>
        <v>-</v>
      </c>
      <c r="N28" s="30" t="str">
        <f>IF(M28="-","-",(IFERROR(IF(L28/O19&lt;M28,"error",L28/O19),"-")))</f>
        <v>-</v>
      </c>
      <c r="O28" s="67" t="str">
        <f>IFERROR(ROUNDUP(N28/O21,0),"-")</f>
        <v>-</v>
      </c>
      <c r="P28" s="28" t="str">
        <f t="shared" ref="P28:P39" si="4">IFERROR(N28/O28,"-")</f>
        <v>-</v>
      </c>
      <c r="Q28" s="68" t="str">
        <f t="shared" ref="Q28:Q39" si="5">IFERROR(M28/O28,"-")</f>
        <v>-</v>
      </c>
      <c r="R28" s="69" t="str">
        <f t="shared" ref="R28:R36" si="6">IFERROR(IF(P28-Q28=0,"0",P28-Q28),"-")</f>
        <v>-</v>
      </c>
    </row>
    <row r="29" spans="1:18" ht="13.5" customHeight="1" x14ac:dyDescent="0.25">
      <c r="A29" s="165" t="s">
        <v>91</v>
      </c>
      <c r="B29" s="181" t="s">
        <v>71</v>
      </c>
      <c r="C29" s="94">
        <v>0</v>
      </c>
      <c r="D29" s="54" t="s">
        <v>53</v>
      </c>
      <c r="E29" s="70" t="s">
        <v>38</v>
      </c>
      <c r="F29" s="103" t="str">
        <f>IF(C29=0,"0",(IF(H20&gt;0,H20,H21)*0.5*I25))</f>
        <v>0</v>
      </c>
      <c r="G29" s="71" t="s">
        <v>15</v>
      </c>
      <c r="H29" s="56" t="str">
        <f t="shared" si="1"/>
        <v>-</v>
      </c>
      <c r="I29" s="71" t="s">
        <v>15</v>
      </c>
      <c r="J29" s="2"/>
      <c r="K29" s="167" t="s">
        <v>92</v>
      </c>
      <c r="L29" s="48" t="str">
        <f t="shared" si="2"/>
        <v>0</v>
      </c>
      <c r="M29" s="57" t="str">
        <f t="shared" si="3"/>
        <v>-</v>
      </c>
      <c r="N29" s="29" t="str">
        <f>IF(M29="-","-",(IFERROR(IF(L29/O19&lt;M29,"error",L29/O19),"-")))</f>
        <v>-</v>
      </c>
      <c r="O29" s="72" t="str">
        <f>IFERROR(ROUNDUP(N29/O21,0),"-")</f>
        <v>-</v>
      </c>
      <c r="P29" s="59" t="str">
        <f t="shared" si="4"/>
        <v>-</v>
      </c>
      <c r="Q29" s="60" t="str">
        <f t="shared" si="5"/>
        <v>-</v>
      </c>
      <c r="R29" s="59" t="str">
        <f t="shared" si="6"/>
        <v>-</v>
      </c>
    </row>
    <row r="30" spans="1:18" ht="13.5" customHeight="1" x14ac:dyDescent="0.25">
      <c r="A30" s="166"/>
      <c r="B30" s="177"/>
      <c r="C30" s="93">
        <v>0</v>
      </c>
      <c r="D30" s="61" t="s">
        <v>54</v>
      </c>
      <c r="E30" s="62" t="s">
        <v>39</v>
      </c>
      <c r="F30" s="104" t="str">
        <f>IF(C30=0,"0",(IF(H20&gt;0,H20,H21)*0.25*I25))</f>
        <v>0</v>
      </c>
      <c r="G30" s="63" t="s">
        <v>15</v>
      </c>
      <c r="H30" s="64" t="str">
        <f t="shared" si="1"/>
        <v>-</v>
      </c>
      <c r="I30" s="63" t="s">
        <v>15</v>
      </c>
      <c r="J30" s="63"/>
      <c r="K30" s="166"/>
      <c r="L30" s="65" t="str">
        <f t="shared" si="2"/>
        <v>0</v>
      </c>
      <c r="M30" s="66" t="str">
        <f t="shared" si="3"/>
        <v>-</v>
      </c>
      <c r="N30" s="28" t="str">
        <f>IF(M30="-","-",(IFERROR(IF(L30/O19&lt;M30,"error",L30/O19),"-")))</f>
        <v>-</v>
      </c>
      <c r="O30" s="67" t="str">
        <f>IFERROR(ROUNDUP(N30/O21,0),"-")</f>
        <v>-</v>
      </c>
      <c r="P30" s="28" t="str">
        <f t="shared" si="4"/>
        <v>-</v>
      </c>
      <c r="Q30" s="68" t="str">
        <f t="shared" si="5"/>
        <v>-</v>
      </c>
      <c r="R30" s="69" t="str">
        <f t="shared" si="6"/>
        <v>-</v>
      </c>
    </row>
    <row r="31" spans="1:18" ht="13.5" customHeight="1" x14ac:dyDescent="0.25">
      <c r="A31" s="162" t="s">
        <v>48</v>
      </c>
      <c r="B31" s="73" t="s">
        <v>70</v>
      </c>
      <c r="C31" s="95">
        <v>0</v>
      </c>
      <c r="D31" s="54" t="s">
        <v>53</v>
      </c>
      <c r="E31" s="70" t="s">
        <v>39</v>
      </c>
      <c r="F31" s="105" t="str">
        <f>IF(C31=0,"0",(IF(H20&gt;0,H20,H21)*0.25*I25))</f>
        <v>0</v>
      </c>
      <c r="G31" s="71" t="s">
        <v>15</v>
      </c>
      <c r="H31" s="56" t="str">
        <f t="shared" si="1"/>
        <v>-</v>
      </c>
      <c r="I31" s="71" t="s">
        <v>15</v>
      </c>
      <c r="J31" s="71"/>
      <c r="K31" s="162" t="s">
        <v>48</v>
      </c>
      <c r="L31" s="48" t="str">
        <f t="shared" si="2"/>
        <v>0</v>
      </c>
      <c r="M31" s="57" t="str">
        <f t="shared" si="3"/>
        <v>-</v>
      </c>
      <c r="N31" s="29" t="str">
        <f>IF(M31="-","-",(IFERROR(IF(L31/O19&lt;M31,"error",L31/O19),"-")))</f>
        <v>-</v>
      </c>
      <c r="O31" s="72" t="str">
        <f>IFERROR(ROUNDUP(N31/O21,0),"-")</f>
        <v>-</v>
      </c>
      <c r="P31" s="59" t="str">
        <f t="shared" si="4"/>
        <v>-</v>
      </c>
      <c r="Q31" s="60" t="str">
        <f t="shared" si="5"/>
        <v>-</v>
      </c>
      <c r="R31" s="59" t="str">
        <f t="shared" si="6"/>
        <v>-</v>
      </c>
    </row>
    <row r="32" spans="1:18" ht="13.5" customHeight="1" x14ac:dyDescent="0.25">
      <c r="A32" s="164"/>
      <c r="B32" s="74" t="s">
        <v>69</v>
      </c>
      <c r="C32" s="96">
        <v>0</v>
      </c>
      <c r="D32" s="54" t="s">
        <v>54</v>
      </c>
      <c r="E32" s="55" t="s">
        <v>44</v>
      </c>
      <c r="F32" s="106" t="str">
        <f>IF(C32=0,"0",(IF(H20&gt;0,H20,H21)*0.125*I25))</f>
        <v>0</v>
      </c>
      <c r="G32" s="2" t="s">
        <v>15</v>
      </c>
      <c r="H32" s="56" t="str">
        <f t="shared" si="1"/>
        <v>-</v>
      </c>
      <c r="I32" s="2" t="s">
        <v>15</v>
      </c>
      <c r="J32" s="2"/>
      <c r="K32" s="164"/>
      <c r="L32" s="48" t="str">
        <f t="shared" si="2"/>
        <v>0</v>
      </c>
      <c r="M32" s="57" t="str">
        <f t="shared" si="3"/>
        <v>-</v>
      </c>
      <c r="N32" s="30" t="str">
        <f>IF(M32="-","-",(IFERROR(IF(L32/O19&lt;M32,"error",L32/O19),"-")))</f>
        <v>-</v>
      </c>
      <c r="O32" s="72" t="str">
        <f>IFERROR(ROUNDUP(N32/O21,0),"-")</f>
        <v>-</v>
      </c>
      <c r="P32" s="59" t="str">
        <f t="shared" si="4"/>
        <v>-</v>
      </c>
      <c r="Q32" s="60" t="str">
        <f t="shared" si="5"/>
        <v>-</v>
      </c>
      <c r="R32" s="59" t="str">
        <f t="shared" si="6"/>
        <v>-</v>
      </c>
    </row>
    <row r="33" spans="1:18" ht="13.5" customHeight="1" x14ac:dyDescent="0.25">
      <c r="A33" s="163"/>
      <c r="B33" s="75" t="s">
        <v>93</v>
      </c>
      <c r="C33" s="97">
        <v>0</v>
      </c>
      <c r="D33" s="61" t="s">
        <v>57</v>
      </c>
      <c r="E33" s="62" t="s">
        <v>49</v>
      </c>
      <c r="F33" s="107" t="str">
        <f>IF(C33=0,"0",(H7/186*3*F18*I25))</f>
        <v>0</v>
      </c>
      <c r="G33" s="63" t="s">
        <v>15</v>
      </c>
      <c r="H33" s="64" t="str">
        <f>IF(C33&gt;0,F33*(C33/100),"-")</f>
        <v>-</v>
      </c>
      <c r="I33" s="63" t="s">
        <v>15</v>
      </c>
      <c r="J33" s="63"/>
      <c r="K33" s="163"/>
      <c r="L33" s="76" t="s">
        <v>66</v>
      </c>
      <c r="M33" s="77" t="s">
        <v>66</v>
      </c>
      <c r="N33" s="31" t="s">
        <v>66</v>
      </c>
      <c r="O33" s="77" t="s">
        <v>66</v>
      </c>
      <c r="P33" s="76" t="s">
        <v>66</v>
      </c>
      <c r="Q33" s="78" t="s">
        <v>66</v>
      </c>
      <c r="R33" s="79" t="s">
        <v>66</v>
      </c>
    </row>
    <row r="34" spans="1:18" ht="13.5" customHeight="1" x14ac:dyDescent="0.25">
      <c r="A34" s="165" t="s">
        <v>130</v>
      </c>
      <c r="B34" s="74" t="s">
        <v>70</v>
      </c>
      <c r="C34" s="95">
        <v>0</v>
      </c>
      <c r="D34" s="54" t="s">
        <v>53</v>
      </c>
      <c r="E34" s="70" t="s">
        <v>39</v>
      </c>
      <c r="F34" s="103" t="str">
        <f>IF(C34=0,"0",(IF(H20&gt;0,H20,H21)*0.25*I25))</f>
        <v>0</v>
      </c>
      <c r="G34" s="19" t="s">
        <v>15</v>
      </c>
      <c r="H34" s="84" t="str">
        <f>IF(C34&gt;0,F34*(C34/1000),"-")</f>
        <v>-</v>
      </c>
      <c r="I34" s="19" t="s">
        <v>15</v>
      </c>
      <c r="J34" s="19"/>
      <c r="K34" s="165" t="s">
        <v>132</v>
      </c>
      <c r="L34" s="48" t="str">
        <f t="shared" si="2"/>
        <v>0</v>
      </c>
      <c r="M34" s="80" t="str">
        <f t="shared" si="3"/>
        <v>-</v>
      </c>
      <c r="N34" s="30" t="str">
        <f>IF(M34="-","-",(IFERROR(IF(L34/O19&lt;M34,"error",L34/O19),"-")))</f>
        <v>-</v>
      </c>
      <c r="O34" s="72" t="str">
        <f>IFERROR(ROUNDUP(N34/O21,0),"-")</f>
        <v>-</v>
      </c>
      <c r="P34" s="59" t="str">
        <f t="shared" si="4"/>
        <v>-</v>
      </c>
      <c r="Q34" s="60" t="str">
        <f t="shared" si="5"/>
        <v>-</v>
      </c>
      <c r="R34" s="59" t="str">
        <f t="shared" si="6"/>
        <v>-</v>
      </c>
    </row>
    <row r="35" spans="1:18" ht="13.5" customHeight="1" x14ac:dyDescent="0.25">
      <c r="A35" s="166"/>
      <c r="B35" s="140" t="s">
        <v>131</v>
      </c>
      <c r="C35" s="141">
        <v>0</v>
      </c>
      <c r="D35" s="61" t="s">
        <v>57</v>
      </c>
      <c r="E35" s="62" t="s">
        <v>41</v>
      </c>
      <c r="F35" s="103" t="str">
        <f>IF(C35=0,"0",(H23*10/1000*I25))</f>
        <v>0</v>
      </c>
      <c r="G35" s="19" t="s">
        <v>15</v>
      </c>
      <c r="H35" s="56" t="str">
        <f>IF(F35*C35/100&gt;0,F35*C35/1000,"-")</f>
        <v>-</v>
      </c>
      <c r="I35" s="81" t="s">
        <v>15</v>
      </c>
      <c r="J35" s="81"/>
      <c r="K35" s="166"/>
      <c r="L35" s="82" t="s">
        <v>66</v>
      </c>
      <c r="M35" s="83" t="s">
        <v>66</v>
      </c>
      <c r="N35" s="31" t="s">
        <v>66</v>
      </c>
      <c r="O35" s="83" t="s">
        <v>66</v>
      </c>
      <c r="P35" s="82" t="s">
        <v>66</v>
      </c>
      <c r="Q35" s="78" t="s">
        <v>66</v>
      </c>
      <c r="R35" s="79" t="s">
        <v>66</v>
      </c>
    </row>
    <row r="36" spans="1:18" ht="13.5" customHeight="1" x14ac:dyDescent="0.25">
      <c r="A36" s="162" t="s">
        <v>5</v>
      </c>
      <c r="B36" s="73" t="s">
        <v>70</v>
      </c>
      <c r="C36" s="98">
        <v>0</v>
      </c>
      <c r="D36" s="54" t="s">
        <v>53</v>
      </c>
      <c r="E36" s="70" t="s">
        <v>40</v>
      </c>
      <c r="F36" s="105" t="str">
        <f>IF(C36=0,"0",(IF(H20&gt;0,H20,H21)*0.3*I25))</f>
        <v>0</v>
      </c>
      <c r="G36" s="71" t="s">
        <v>15</v>
      </c>
      <c r="H36" s="84" t="str">
        <f>IFERROR(F36/C36/1000,"-")</f>
        <v>-</v>
      </c>
      <c r="I36" s="71" t="s">
        <v>15</v>
      </c>
      <c r="J36" s="71"/>
      <c r="K36" s="165" t="s">
        <v>5</v>
      </c>
      <c r="L36" s="48" t="str">
        <f t="shared" si="2"/>
        <v>0</v>
      </c>
      <c r="M36" s="57" t="str">
        <f t="shared" si="3"/>
        <v>-</v>
      </c>
      <c r="N36" s="29" t="str">
        <f>IF(M36="-","-",(IFERROR(IF(L36/O19&lt;M36,"error",L36/O19),"-")))</f>
        <v>-</v>
      </c>
      <c r="O36" s="72" t="str">
        <f>IFERROR(ROUNDUP(N36/O21,0),"-")</f>
        <v>-</v>
      </c>
      <c r="P36" s="59" t="str">
        <f t="shared" si="4"/>
        <v>-</v>
      </c>
      <c r="Q36" s="60" t="str">
        <f t="shared" si="5"/>
        <v>-</v>
      </c>
      <c r="R36" s="59" t="str">
        <f t="shared" si="6"/>
        <v>-</v>
      </c>
    </row>
    <row r="37" spans="1:18" ht="13.5" customHeight="1" x14ac:dyDescent="0.25">
      <c r="A37" s="163"/>
      <c r="B37" s="75" t="s">
        <v>94</v>
      </c>
      <c r="C37" s="97">
        <v>0</v>
      </c>
      <c r="D37" s="61" t="s">
        <v>57</v>
      </c>
      <c r="E37" s="62" t="s">
        <v>138</v>
      </c>
      <c r="F37" s="104" t="str">
        <f>IF(C37=0,"0",(H23*17/1000*I25))</f>
        <v>0</v>
      </c>
      <c r="G37" s="63" t="s">
        <v>15</v>
      </c>
      <c r="H37" s="64" t="str">
        <f>IFERROR(F37/C37,"-")</f>
        <v>-</v>
      </c>
      <c r="I37" s="63" t="s">
        <v>15</v>
      </c>
      <c r="J37" s="63"/>
      <c r="K37" s="166"/>
      <c r="L37" s="82" t="s">
        <v>66</v>
      </c>
      <c r="M37" s="83" t="s">
        <v>66</v>
      </c>
      <c r="N37" s="31" t="s">
        <v>66</v>
      </c>
      <c r="O37" s="83" t="s">
        <v>66</v>
      </c>
      <c r="P37" s="82" t="s">
        <v>66</v>
      </c>
      <c r="Q37" s="78" t="s">
        <v>66</v>
      </c>
      <c r="R37" s="79" t="s">
        <v>66</v>
      </c>
    </row>
    <row r="38" spans="1:18" ht="13.5" customHeight="1" x14ac:dyDescent="0.25">
      <c r="A38" s="162" t="s">
        <v>6</v>
      </c>
      <c r="B38" s="73" t="s">
        <v>67</v>
      </c>
      <c r="C38" s="99">
        <v>0</v>
      </c>
      <c r="D38" s="54" t="s">
        <v>53</v>
      </c>
      <c r="E38" s="70" t="s">
        <v>40</v>
      </c>
      <c r="F38" s="105" t="str">
        <f>IF(C38=0,"0",(IF(H20&gt;0,H20,H21)*0.3*I25))</f>
        <v>0</v>
      </c>
      <c r="G38" s="71" t="s">
        <v>15</v>
      </c>
      <c r="H38" s="56" t="str">
        <f>IF(F38*C38/100&gt;0,F38*C38/100,"-")</f>
        <v>-</v>
      </c>
      <c r="I38" s="71" t="s">
        <v>16</v>
      </c>
      <c r="J38" s="71"/>
      <c r="K38" s="162" t="s">
        <v>6</v>
      </c>
      <c r="L38" s="48" t="str">
        <f t="shared" si="2"/>
        <v>0</v>
      </c>
      <c r="M38" s="57" t="str">
        <f t="shared" si="3"/>
        <v>-</v>
      </c>
      <c r="N38" s="29" t="str">
        <f>IF(M38="-","-",(IFERROR(IF(M38/(L38/O19)&gt;0.2,"error",L38/O19),"-")))</f>
        <v>-</v>
      </c>
      <c r="O38" s="72" t="str">
        <f>IFERROR(ROUNDUP(N38/O21,0),"-")</f>
        <v>-</v>
      </c>
      <c r="P38" s="59" t="str">
        <f t="shared" si="4"/>
        <v>-</v>
      </c>
      <c r="Q38" s="60" t="str">
        <f t="shared" si="5"/>
        <v>-</v>
      </c>
      <c r="R38" s="59" t="str">
        <f>IFERROR(IF(P38=0,"error",P38),"-")</f>
        <v>-</v>
      </c>
    </row>
    <row r="39" spans="1:18" ht="13.5" customHeight="1" x14ac:dyDescent="0.25">
      <c r="A39" s="164"/>
      <c r="B39" s="74" t="s">
        <v>67</v>
      </c>
      <c r="C39" s="100">
        <v>0</v>
      </c>
      <c r="D39" s="54" t="s">
        <v>54</v>
      </c>
      <c r="E39" s="55" t="s">
        <v>40</v>
      </c>
      <c r="F39" s="108" t="str">
        <f>IF(C39=0,"0",(IF(H20&gt;0,H20,H21)*0.3*I25))</f>
        <v>0</v>
      </c>
      <c r="G39" s="2" t="s">
        <v>15</v>
      </c>
      <c r="H39" s="56" t="str">
        <f>IF(F39*C39/100&gt;0,F39*C39/100,"-")</f>
        <v>-</v>
      </c>
      <c r="I39" s="2" t="s">
        <v>16</v>
      </c>
      <c r="J39" s="2"/>
      <c r="K39" s="164"/>
      <c r="L39" s="48" t="str">
        <f t="shared" si="2"/>
        <v>0</v>
      </c>
      <c r="M39" s="57" t="str">
        <f t="shared" si="3"/>
        <v>-</v>
      </c>
      <c r="N39" s="30" t="str">
        <f>IF(M39="-","-",(IFERROR(IF(M39/(L39/O19)&gt;0.2,"error",L39/O19),"-")))</f>
        <v>-</v>
      </c>
      <c r="O39" s="72" t="str">
        <f>IFERROR(ROUNDUP(N39/O21,0),"-")</f>
        <v>-</v>
      </c>
      <c r="P39" s="59" t="str">
        <f t="shared" si="4"/>
        <v>-</v>
      </c>
      <c r="Q39" s="60" t="str">
        <f t="shared" si="5"/>
        <v>-</v>
      </c>
      <c r="R39" s="59" t="str">
        <f>IFERROR(IF(P39=0,"error",P39),"-")</f>
        <v>-</v>
      </c>
    </row>
    <row r="40" spans="1:18" ht="13.5" customHeight="1" x14ac:dyDescent="0.25">
      <c r="A40" s="163"/>
      <c r="B40" s="75" t="s">
        <v>68</v>
      </c>
      <c r="C40" s="101">
        <v>0</v>
      </c>
      <c r="D40" s="61" t="s">
        <v>57</v>
      </c>
      <c r="E40" s="62" t="s">
        <v>41</v>
      </c>
      <c r="F40" s="23" t="str">
        <f>IF(C40=0,"0",(H23*0.01*I25))</f>
        <v>0</v>
      </c>
      <c r="G40" s="63" t="s">
        <v>15</v>
      </c>
      <c r="H40" s="64" t="str">
        <f>IF(F40*C40/100&gt;0,F40*C40/100,"-")</f>
        <v>-</v>
      </c>
      <c r="I40" s="63" t="s">
        <v>16</v>
      </c>
      <c r="J40" s="63"/>
      <c r="K40" s="163"/>
      <c r="L40" s="82" t="s">
        <v>66</v>
      </c>
      <c r="M40" s="83" t="s">
        <v>66</v>
      </c>
      <c r="N40" s="31" t="s">
        <v>66</v>
      </c>
      <c r="O40" s="83" t="s">
        <v>66</v>
      </c>
      <c r="P40" s="82" t="s">
        <v>66</v>
      </c>
      <c r="Q40" s="78" t="s">
        <v>66</v>
      </c>
      <c r="R40" s="79" t="s">
        <v>66</v>
      </c>
    </row>
    <row r="41" spans="1:18" ht="13.5" customHeight="1" x14ac:dyDescent="0.25">
      <c r="K41" s="85"/>
      <c r="L41" s="19"/>
    </row>
    <row r="42" spans="1:18" x14ac:dyDescent="0.25">
      <c r="D42" s="196"/>
      <c r="E42" s="196"/>
      <c r="G42" s="2"/>
      <c r="I42" s="2"/>
    </row>
    <row r="66" spans="1:14" s="1" customFormat="1" x14ac:dyDescent="0.25">
      <c r="A66"/>
      <c r="D66" s="2"/>
      <c r="E66" s="2"/>
      <c r="F66"/>
      <c r="G66"/>
      <c r="H66"/>
      <c r="I66"/>
      <c r="J66"/>
      <c r="K66"/>
      <c r="L66" s="2"/>
      <c r="M66" s="2"/>
      <c r="N66" s="2"/>
    </row>
    <row r="67" spans="1:14" s="1" customFormat="1" x14ac:dyDescent="0.25">
      <c r="A67"/>
      <c r="D67" s="2"/>
      <c r="E67" s="2"/>
      <c r="F67"/>
      <c r="G67"/>
      <c r="H67"/>
      <c r="I67"/>
      <c r="J67"/>
      <c r="K67"/>
      <c r="L67" s="2"/>
      <c r="M67" s="2"/>
      <c r="N67" s="2"/>
    </row>
    <row r="68" spans="1:14" s="1" customFormat="1" x14ac:dyDescent="0.25">
      <c r="A68"/>
      <c r="D68" s="2"/>
      <c r="E68" s="2"/>
      <c r="F68"/>
      <c r="G68"/>
      <c r="H68"/>
      <c r="I68"/>
      <c r="J68"/>
      <c r="K68"/>
      <c r="L68" s="2"/>
      <c r="M68" s="2"/>
      <c r="N68" s="2"/>
    </row>
    <row r="69" spans="1:14" s="1" customFormat="1" x14ac:dyDescent="0.25">
      <c r="A69"/>
      <c r="D69" s="2"/>
      <c r="E69" s="2"/>
      <c r="F69"/>
      <c r="G69"/>
      <c r="H69"/>
      <c r="I69"/>
      <c r="J69"/>
      <c r="K69"/>
      <c r="L69" s="2"/>
      <c r="M69" s="2"/>
      <c r="N69" s="2"/>
    </row>
    <row r="70" spans="1:14" s="1" customFormat="1" x14ac:dyDescent="0.25">
      <c r="D70" s="2"/>
      <c r="E70" s="2"/>
      <c r="F70"/>
      <c r="G70"/>
      <c r="H70"/>
      <c r="I70"/>
      <c r="J70"/>
      <c r="K70"/>
      <c r="L70" s="2"/>
      <c r="M70" s="2"/>
      <c r="N70" s="2"/>
    </row>
    <row r="71" spans="1:14" s="1" customFormat="1" x14ac:dyDescent="0.25">
      <c r="D71" s="2"/>
      <c r="E71" s="2"/>
      <c r="F71"/>
      <c r="G71"/>
      <c r="H71"/>
      <c r="I71"/>
      <c r="J71"/>
      <c r="K71"/>
      <c r="L71" s="2"/>
      <c r="M71" s="2"/>
      <c r="N71" s="2"/>
    </row>
    <row r="72" spans="1:14" s="1" customFormat="1" x14ac:dyDescent="0.25">
      <c r="D72" s="2"/>
      <c r="E72" s="2"/>
      <c r="F72"/>
      <c r="G72"/>
      <c r="H72"/>
      <c r="I72"/>
      <c r="J72"/>
      <c r="K72"/>
      <c r="L72" s="2"/>
      <c r="M72" s="2"/>
      <c r="N72" s="2"/>
    </row>
    <row r="73" spans="1:14" s="1" customFormat="1" x14ac:dyDescent="0.25">
      <c r="D73" s="2"/>
      <c r="E73" s="2"/>
      <c r="F73"/>
      <c r="G73"/>
      <c r="H73"/>
      <c r="I73"/>
      <c r="J73"/>
      <c r="K73"/>
      <c r="L73" s="2"/>
      <c r="M73" s="2"/>
      <c r="N73" s="2"/>
    </row>
    <row r="74" spans="1:14" s="1" customFormat="1" x14ac:dyDescent="0.25">
      <c r="D74" s="2"/>
      <c r="E74" s="2"/>
      <c r="F74"/>
      <c r="G74"/>
      <c r="H74"/>
      <c r="I74"/>
      <c r="J74"/>
      <c r="K74"/>
      <c r="L74" s="2"/>
      <c r="M74" s="2"/>
      <c r="N74" s="2"/>
    </row>
    <row r="75" spans="1:14" s="1" customFormat="1" x14ac:dyDescent="0.25">
      <c r="D75" s="2"/>
      <c r="E75" s="2"/>
      <c r="F75"/>
      <c r="G75"/>
      <c r="H75"/>
      <c r="I75"/>
      <c r="J75"/>
      <c r="K75"/>
      <c r="L75" s="2"/>
      <c r="M75" s="2"/>
      <c r="N75" s="2"/>
    </row>
    <row r="76" spans="1:14" s="1" customFormat="1" x14ac:dyDescent="0.25">
      <c r="D76" s="2"/>
      <c r="E76" s="2"/>
      <c r="F76"/>
      <c r="G76"/>
      <c r="H76"/>
      <c r="I76"/>
      <c r="J76"/>
      <c r="K76"/>
      <c r="L76" s="2"/>
      <c r="M76" s="2"/>
      <c r="N76" s="2"/>
    </row>
    <row r="77" spans="1:14" s="1" customFormat="1" x14ac:dyDescent="0.25">
      <c r="D77" s="2"/>
      <c r="E77" s="2"/>
      <c r="F77"/>
      <c r="G77"/>
      <c r="H77"/>
      <c r="I77"/>
      <c r="J77"/>
      <c r="K77"/>
      <c r="L77" s="2"/>
      <c r="M77" s="2"/>
      <c r="N77" s="2"/>
    </row>
    <row r="78" spans="1:14" s="1" customFormat="1" x14ac:dyDescent="0.25">
      <c r="D78" s="2"/>
      <c r="E78" s="2"/>
      <c r="F78"/>
      <c r="G78"/>
      <c r="H78"/>
      <c r="I78"/>
      <c r="J78"/>
      <c r="K78"/>
      <c r="L78" s="2"/>
      <c r="M78" s="2"/>
      <c r="N78" s="2"/>
    </row>
    <row r="79" spans="1:14" s="1" customFormat="1" x14ac:dyDescent="0.25">
      <c r="D79" s="2"/>
      <c r="E79" s="2"/>
      <c r="F79"/>
      <c r="G79"/>
      <c r="H79"/>
      <c r="I79"/>
      <c r="J79"/>
      <c r="K79"/>
      <c r="L79" s="2"/>
      <c r="M79" s="2"/>
      <c r="N79" s="2"/>
    </row>
    <row r="80" spans="1:14" s="1" customFormat="1" x14ac:dyDescent="0.25">
      <c r="D80" s="2"/>
      <c r="E80" s="2"/>
      <c r="F80"/>
      <c r="G80"/>
      <c r="H80"/>
      <c r="I80"/>
      <c r="J80"/>
      <c r="K80"/>
      <c r="L80" s="2"/>
      <c r="M80" s="2"/>
      <c r="N80" s="2"/>
    </row>
    <row r="81" spans="4:14" s="1" customFormat="1" x14ac:dyDescent="0.25">
      <c r="D81" s="2"/>
      <c r="E81" s="2"/>
      <c r="F81"/>
      <c r="G81"/>
      <c r="H81"/>
      <c r="I81"/>
      <c r="J81"/>
      <c r="K81"/>
      <c r="L81" s="2"/>
      <c r="M81" s="2"/>
      <c r="N81" s="2"/>
    </row>
    <row r="82" spans="4:14" s="1" customFormat="1" x14ac:dyDescent="0.25">
      <c r="D82" s="2"/>
      <c r="E82" s="2"/>
      <c r="F82"/>
      <c r="G82"/>
      <c r="H82"/>
      <c r="I82"/>
      <c r="J82"/>
      <c r="K82"/>
      <c r="L82" s="2"/>
      <c r="M82" s="2"/>
      <c r="N82" s="2"/>
    </row>
    <row r="83" spans="4:14" s="1" customFormat="1" x14ac:dyDescent="0.25">
      <c r="D83" s="2"/>
      <c r="E83" s="2"/>
      <c r="F83"/>
      <c r="G83"/>
      <c r="H83"/>
      <c r="I83"/>
      <c r="J83"/>
      <c r="K83"/>
      <c r="L83" s="2"/>
      <c r="M83" s="2"/>
      <c r="N83" s="2"/>
    </row>
    <row r="84" spans="4:14" s="1" customFormat="1" x14ac:dyDescent="0.25">
      <c r="D84" s="2"/>
      <c r="E84" s="2"/>
      <c r="F84"/>
      <c r="G84"/>
      <c r="H84"/>
      <c r="I84"/>
      <c r="J84"/>
      <c r="K84"/>
      <c r="L84" s="2"/>
      <c r="M84" s="2"/>
      <c r="N84" s="2"/>
    </row>
    <row r="85" spans="4:14" s="1" customFormat="1" x14ac:dyDescent="0.25">
      <c r="D85" s="2"/>
      <c r="E85" s="2"/>
      <c r="F85"/>
      <c r="G85"/>
      <c r="H85"/>
      <c r="I85"/>
      <c r="J85"/>
      <c r="K85"/>
      <c r="L85" s="2"/>
      <c r="M85" s="2"/>
      <c r="N85" s="2"/>
    </row>
    <row r="86" spans="4:14" s="1" customFormat="1" x14ac:dyDescent="0.25">
      <c r="D86" s="2"/>
      <c r="E86" s="2"/>
      <c r="F86"/>
      <c r="G86"/>
      <c r="H86"/>
      <c r="I86"/>
      <c r="J86"/>
      <c r="K86"/>
      <c r="L86" s="2"/>
      <c r="M86" s="2"/>
      <c r="N86" s="2"/>
    </row>
    <row r="87" spans="4:14" s="1" customFormat="1" x14ac:dyDescent="0.25">
      <c r="D87" s="2"/>
      <c r="E87" s="2"/>
      <c r="F87"/>
      <c r="G87"/>
      <c r="H87"/>
      <c r="I87"/>
      <c r="J87"/>
      <c r="K87"/>
      <c r="L87" s="2"/>
      <c r="M87" s="2"/>
      <c r="N87" s="2"/>
    </row>
    <row r="88" spans="4:14" s="1" customFormat="1" x14ac:dyDescent="0.25">
      <c r="D88" s="2"/>
      <c r="E88" s="2"/>
      <c r="F88"/>
      <c r="G88"/>
      <c r="H88"/>
      <c r="I88"/>
      <c r="J88"/>
      <c r="K88"/>
      <c r="L88" s="2"/>
      <c r="M88" s="2"/>
      <c r="N88" s="2"/>
    </row>
    <row r="89" spans="4:14" s="1" customFormat="1" x14ac:dyDescent="0.25">
      <c r="D89" s="2"/>
      <c r="E89" s="2"/>
      <c r="F89"/>
      <c r="G89"/>
      <c r="H89"/>
      <c r="I89"/>
      <c r="J89"/>
      <c r="K89"/>
      <c r="L89" s="2"/>
      <c r="M89" s="2"/>
      <c r="N89" s="2"/>
    </row>
    <row r="90" spans="4:14" s="1" customFormat="1" x14ac:dyDescent="0.25">
      <c r="D90" s="2"/>
      <c r="E90" s="2"/>
      <c r="F90"/>
      <c r="G90"/>
      <c r="H90"/>
      <c r="I90"/>
      <c r="J90"/>
      <c r="K90"/>
      <c r="L90" s="2"/>
      <c r="M90" s="2"/>
      <c r="N90" s="2"/>
    </row>
    <row r="91" spans="4:14" s="1" customFormat="1" x14ac:dyDescent="0.25">
      <c r="D91" s="2"/>
      <c r="E91" s="2"/>
      <c r="F91"/>
      <c r="G91"/>
      <c r="H91"/>
      <c r="I91"/>
      <c r="J91"/>
      <c r="K91"/>
      <c r="L91" s="2"/>
      <c r="M91" s="2"/>
      <c r="N91" s="2"/>
    </row>
    <row r="92" spans="4:14" s="1" customFormat="1" x14ac:dyDescent="0.25">
      <c r="D92" s="2"/>
      <c r="E92" s="2"/>
      <c r="F92"/>
      <c r="G92"/>
      <c r="H92"/>
      <c r="I92"/>
      <c r="J92"/>
      <c r="K92"/>
      <c r="L92" s="2"/>
      <c r="M92" s="2"/>
      <c r="N92" s="2"/>
    </row>
    <row r="93" spans="4:14" s="1" customFormat="1" x14ac:dyDescent="0.25">
      <c r="D93" s="2"/>
      <c r="E93" s="2"/>
      <c r="F93"/>
      <c r="G93"/>
      <c r="H93"/>
      <c r="I93"/>
      <c r="J93"/>
      <c r="K93"/>
      <c r="L93" s="2"/>
      <c r="M93" s="2"/>
      <c r="N93" s="2"/>
    </row>
    <row r="94" spans="4:14" s="1" customFormat="1" x14ac:dyDescent="0.25">
      <c r="D94" s="2"/>
      <c r="E94" s="2"/>
      <c r="F94"/>
      <c r="G94"/>
      <c r="H94"/>
      <c r="I94"/>
      <c r="J94"/>
      <c r="K94"/>
      <c r="L94" s="2"/>
      <c r="M94" s="2"/>
      <c r="N94" s="2"/>
    </row>
  </sheetData>
  <sheetProtection selectLockedCells="1"/>
  <dataConsolidate/>
  <mergeCells count="65">
    <mergeCell ref="D42:E42"/>
    <mergeCell ref="A4:E4"/>
    <mergeCell ref="H4:I4"/>
    <mergeCell ref="K4:N4"/>
    <mergeCell ref="Q4:R4"/>
    <mergeCell ref="B6:E6"/>
    <mergeCell ref="L6:O6"/>
    <mergeCell ref="B7:E7"/>
    <mergeCell ref="L7:O7"/>
    <mergeCell ref="B8:E8"/>
    <mergeCell ref="Q8:R8"/>
    <mergeCell ref="B9:E9"/>
    <mergeCell ref="L9:O9"/>
    <mergeCell ref="B10:E10"/>
    <mergeCell ref="L10:O10"/>
    <mergeCell ref="A15:C15"/>
    <mergeCell ref="H8:I8"/>
    <mergeCell ref="L8:O8"/>
    <mergeCell ref="B11:E11"/>
    <mergeCell ref="L11:O11"/>
    <mergeCell ref="F13:I13"/>
    <mergeCell ref="A13:C13"/>
    <mergeCell ref="D22:E23"/>
    <mergeCell ref="N23:R24"/>
    <mergeCell ref="D15:E15"/>
    <mergeCell ref="K15:M15"/>
    <mergeCell ref="K13:M13"/>
    <mergeCell ref="F14:G14"/>
    <mergeCell ref="H14:I14"/>
    <mergeCell ref="D18:E18"/>
    <mergeCell ref="D19:E20"/>
    <mergeCell ref="K19:N19"/>
    <mergeCell ref="D21:G21"/>
    <mergeCell ref="K21:N21"/>
    <mergeCell ref="A16:C16"/>
    <mergeCell ref="D16:E16"/>
    <mergeCell ref="K16:M16"/>
    <mergeCell ref="A17:C17"/>
    <mergeCell ref="D17:E17"/>
    <mergeCell ref="K17:M17"/>
    <mergeCell ref="F25:H25"/>
    <mergeCell ref="B27:B28"/>
    <mergeCell ref="A27:A28"/>
    <mergeCell ref="A29:A30"/>
    <mergeCell ref="A26:E26"/>
    <mergeCell ref="F26:G26"/>
    <mergeCell ref="H26:I26"/>
    <mergeCell ref="B29:B30"/>
    <mergeCell ref="K29:K30"/>
    <mergeCell ref="R25:R26"/>
    <mergeCell ref="L25:L26"/>
    <mergeCell ref="P25:P26"/>
    <mergeCell ref="Q25:Q26"/>
    <mergeCell ref="M25:M26"/>
    <mergeCell ref="N25:N26"/>
    <mergeCell ref="O25:O26"/>
    <mergeCell ref="K27:K28"/>
    <mergeCell ref="A36:A37"/>
    <mergeCell ref="A38:A40"/>
    <mergeCell ref="A31:A33"/>
    <mergeCell ref="K31:K33"/>
    <mergeCell ref="A34:A35"/>
    <mergeCell ref="K34:K35"/>
    <mergeCell ref="K36:K37"/>
    <mergeCell ref="K38:K40"/>
  </mergeCells>
  <conditionalFormatting sqref="N27:N40">
    <cfRule type="containsText" dxfId="4" priority="1" stopIfTrue="1" operator="containsText" text="erreur">
      <formula>NOT(ISERROR(SEARCH("erreur",N27)))</formula>
    </cfRule>
    <cfRule type="containsText" dxfId="3" priority="2" stopIfTrue="1" operator="containsText" text="error">
      <formula>NOT(ISERROR(SEARCH("error",N27)))</formula>
    </cfRule>
    <cfRule type="containsText" dxfId="2" priority="3" stopIfTrue="1" operator="containsText" text="erreur">
      <formula>NOT(ISERROR(SEARCH("erreur",N27)))</formula>
    </cfRule>
  </conditionalFormatting>
  <conditionalFormatting sqref="O22">
    <cfRule type="containsText" dxfId="1" priority="5" stopIfTrue="1" operator="containsText" text="erreur">
      <formula>NOT(ISERROR(SEARCH("erreur",O22)))</formula>
    </cfRule>
    <cfRule type="iconSet" priority="6">
      <iconSet iconSet="3Symbols2">
        <cfvo type="percent" val="0"/>
        <cfvo type="percent" val="33"/>
        <cfvo type="percent" val="67"/>
      </iconSet>
    </cfRule>
  </conditionalFormatting>
  <conditionalFormatting sqref="P41">
    <cfRule type="containsText" dxfId="0" priority="4" stopIfTrue="1" operator="containsText" text="&quot;erreur&quot;">
      <formula>NOT(ISERROR(SEARCH("""erreur""",P41)))</formula>
    </cfRule>
  </conditionalFormatting>
  <dataValidations xWindow="352" yWindow="825" count="12">
    <dataValidation type="list" allowBlank="1" showInputMessage="1" sqref="O19" xr:uid="{00000000-0002-0000-0100-000000000000}">
      <formula1>"0, 10, 15, 20, 50, 100, 125, 128, 200, 250, 256"</formula1>
    </dataValidation>
    <dataValidation type="list" allowBlank="1" showDropDown="1" showInputMessage="1" showErrorMessage="1" prompt="2; 4; 5; 8; 10; 12; 15; 16; 20; 24" sqref="C28:C30" xr:uid="{00000000-0002-0000-0100-000001000000}">
      <formula1>"0, 2, 4, 5, 8, 10, 12, 15, 16, 20, 24"</formula1>
    </dataValidation>
    <dataValidation type="list" allowBlank="1" showDropDown="1" showInputMessage="1" showErrorMessage="1" prompt="4" sqref="C31 C34" xr:uid="{00000000-0002-0000-0100-000002000000}">
      <formula1>"0, 4, 8"</formula1>
    </dataValidation>
    <dataValidation type="list" allowBlank="1" showDropDown="1" showInputMessage="1" showErrorMessage="1" prompt="8" sqref="C32" xr:uid="{00000000-0002-0000-0100-000003000000}">
      <formula1>"0, 8,"</formula1>
    </dataValidation>
    <dataValidation type="list" allowBlank="1" showDropDown="1" showInputMessage="1" showErrorMessage="1" prompt="33" sqref="C33" xr:uid="{00000000-0002-0000-0100-000004000000}">
      <formula1>"0, 33"</formula1>
    </dataValidation>
    <dataValidation type="list" allowBlank="1" showDropDown="1" showInputMessage="1" showErrorMessage="1" prompt="4" sqref="C36" xr:uid="{00000000-0002-0000-0100-000005000000}">
      <formula1>"0, 4"</formula1>
    </dataValidation>
    <dataValidation type="list" allowBlank="1" showDropDown="1" showInputMessage="1" showErrorMessage="1" prompt="10" sqref="C37" xr:uid="{00000000-0002-0000-0100-000006000000}">
      <formula1>"0, 10"</formula1>
    </dataValidation>
    <dataValidation type="whole" allowBlank="1" showInputMessage="1" showErrorMessage="1" prompt="1" sqref="C38" xr:uid="{00000000-0002-0000-0100-000007000000}">
      <formula1>0</formula1>
      <formula2>3</formula2>
    </dataValidation>
    <dataValidation type="list" allowBlank="1" showDropDown="1" showInputMessage="1" showErrorMessage="1" prompt="1" sqref="C39" xr:uid="{00000000-0002-0000-0100-000008000000}">
      <formula1>"0, 1"</formula1>
    </dataValidation>
    <dataValidation type="whole" allowBlank="1" showDropDown="1" showInputMessage="1" showErrorMessage="1" prompt="1" sqref="C40" xr:uid="{00000000-0002-0000-0100-000009000000}">
      <formula1>0</formula1>
      <formula2>5</formula2>
    </dataValidation>
    <dataValidation type="list" allowBlank="1" showDropDown="1" showInputMessage="1" showErrorMessage="1" prompt="2; 3; 4; 5; 6; 7; 8; 9; 10; 11; 12; 13; 14; 15; 16; 17;18; 19; 20; 21; 22; 23; 24" sqref="C27" xr:uid="{00000000-0002-0000-0100-00000A000000}">
      <formula1>"0, 2, 3, 4, 5, 6, 7, 8, 9, 10, 11 12, 13, 14, 15, 16, 17, 18, 19, 20, 21, 22, 23, 24"</formula1>
    </dataValidation>
    <dataValidation type="list" allowBlank="1" showDropDown="1" showInputMessage="1" showErrorMessage="1" prompt="2; 3; 4; 5; 6; 7; 8" sqref="C35" xr:uid="{00000000-0002-0000-0100-00000B000000}">
      <formula1>"0,2,3,4,5,6,7,8"</formula1>
    </dataValidation>
  </dataValidations>
  <pageMargins left="0.74803149606299213" right="0.74803149606299213" top="0.19685039370078741" bottom="0.19685039370078741" header="0.51181102362204722" footer="0.51181102362204722"/>
  <pageSetup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4:J42"/>
  <sheetViews>
    <sheetView showGridLines="0" topLeftCell="A22" workbookViewId="0">
      <selection activeCell="C25" sqref="C25"/>
    </sheetView>
  </sheetViews>
  <sheetFormatPr defaultColWidth="9.08984375" defaultRowHeight="12.5" x14ac:dyDescent="0.25"/>
  <cols>
    <col min="1" max="1" width="15.6328125" customWidth="1"/>
    <col min="2" max="3" width="10.6328125" customWidth="1"/>
    <col min="4" max="4" width="11" customWidth="1"/>
    <col min="5" max="6" width="10.6328125" customWidth="1"/>
    <col min="7" max="7" width="11" customWidth="1"/>
    <col min="8" max="9" width="10.6328125" customWidth="1"/>
  </cols>
  <sheetData>
    <row r="4" spans="1:5" ht="23" x14ac:dyDescent="0.5">
      <c r="A4" s="4" t="s">
        <v>36</v>
      </c>
    </row>
    <row r="6" spans="1:5" ht="16" thickBot="1" x14ac:dyDescent="0.4">
      <c r="A6" s="179" t="s">
        <v>22</v>
      </c>
      <c r="B6" s="179"/>
      <c r="C6" s="179"/>
      <c r="D6" s="179"/>
      <c r="E6" s="11"/>
    </row>
    <row r="7" spans="1:5" ht="13" thickTop="1" x14ac:dyDescent="0.25">
      <c r="B7" s="1"/>
      <c r="C7" s="2"/>
      <c r="D7" s="2"/>
    </row>
    <row r="8" spans="1:5" ht="13" x14ac:dyDescent="0.3">
      <c r="A8" s="3" t="s">
        <v>12</v>
      </c>
      <c r="B8" s="194" t="str">
        <f>IF(INFORMATION!C17&gt;0,INFORMATION!C17," ")</f>
        <v xml:space="preserve"> </v>
      </c>
      <c r="C8" s="194"/>
      <c r="D8" s="194"/>
    </row>
    <row r="9" spans="1:5" ht="13" x14ac:dyDescent="0.3">
      <c r="A9" s="3" t="s">
        <v>13</v>
      </c>
      <c r="B9" s="194" t="str">
        <f>IF(INFORMATION!C18&gt;0,INFORMATION!C18," ")</f>
        <v xml:space="preserve"> </v>
      </c>
      <c r="C9" s="194"/>
      <c r="D9" s="194"/>
    </row>
    <row r="10" spans="1:5" ht="13" x14ac:dyDescent="0.3">
      <c r="A10" s="3" t="s">
        <v>63</v>
      </c>
      <c r="B10" s="194" t="str">
        <f>IF(INFORMATION!C19&gt;0,INFORMATION!C19," ")</f>
        <v xml:space="preserve"> </v>
      </c>
      <c r="C10" s="194"/>
      <c r="D10" s="194"/>
    </row>
    <row r="11" spans="1:5" ht="13" x14ac:dyDescent="0.3">
      <c r="A11" s="3" t="s">
        <v>14</v>
      </c>
      <c r="B11" s="194" t="str">
        <f>IF(INFORMATION!C20&gt;0,INFORMATION!C20," ")</f>
        <v xml:space="preserve"> </v>
      </c>
      <c r="C11" s="194"/>
      <c r="D11" s="194"/>
    </row>
    <row r="12" spans="1:5" ht="13" x14ac:dyDescent="0.3">
      <c r="A12" s="3" t="s">
        <v>64</v>
      </c>
      <c r="B12" s="194" t="str">
        <f>IF(INFORMATION!C21&gt;0,INFORMATION!C21," ")</f>
        <v xml:space="preserve"> </v>
      </c>
      <c r="C12" s="194"/>
      <c r="D12" s="194"/>
    </row>
    <row r="13" spans="1:5" ht="13" x14ac:dyDescent="0.3">
      <c r="A13" s="3" t="s">
        <v>65</v>
      </c>
      <c r="B13" s="194" t="str">
        <f>IF(INFORMATION!C22&gt;0,INFORMATION!C22," ")</f>
        <v xml:space="preserve"> </v>
      </c>
      <c r="C13" s="194"/>
      <c r="D13" s="194"/>
    </row>
    <row r="14" spans="1:5" ht="13" x14ac:dyDescent="0.3">
      <c r="A14" s="3"/>
      <c r="B14" s="194"/>
      <c r="C14" s="194"/>
      <c r="D14" s="194"/>
    </row>
    <row r="15" spans="1:5" ht="16" thickBot="1" x14ac:dyDescent="0.4">
      <c r="A15" s="179" t="s">
        <v>86</v>
      </c>
      <c r="B15" s="179"/>
      <c r="C15" s="179"/>
      <c r="D15" s="179"/>
      <c r="E15" s="7"/>
    </row>
    <row r="16" spans="1:5" ht="13.5" thickTop="1" x14ac:dyDescent="0.3">
      <c r="A16" s="3"/>
      <c r="B16" s="1"/>
      <c r="C16" s="1"/>
      <c r="D16" s="1"/>
    </row>
    <row r="17" spans="1:10" ht="13" x14ac:dyDescent="0.3">
      <c r="A17" s="202"/>
      <c r="B17" s="202"/>
      <c r="C17" s="202"/>
      <c r="D17" s="202"/>
    </row>
    <row r="18" spans="1:10" ht="13" x14ac:dyDescent="0.3">
      <c r="A18" s="202"/>
      <c r="B18" s="202"/>
      <c r="C18" s="202"/>
      <c r="D18" s="202"/>
      <c r="E18" s="3"/>
      <c r="F18" s="3"/>
    </row>
    <row r="19" spans="1:10" ht="13" x14ac:dyDescent="0.3">
      <c r="A19" s="202"/>
      <c r="B19" s="202"/>
      <c r="C19" s="202"/>
      <c r="D19" s="202"/>
    </row>
    <row r="21" spans="1:10" ht="16" thickBot="1" x14ac:dyDescent="0.4">
      <c r="A21" s="187" t="s">
        <v>25</v>
      </c>
      <c r="B21" s="187"/>
      <c r="C21" s="187"/>
      <c r="D21" s="187"/>
      <c r="E21" s="187"/>
      <c r="F21" s="187"/>
      <c r="G21" s="187"/>
      <c r="H21" s="12"/>
      <c r="I21" s="21"/>
    </row>
    <row r="22" spans="1:10" ht="12.75" customHeight="1" thickTop="1" x14ac:dyDescent="0.3">
      <c r="A22" s="3"/>
      <c r="B22" s="8"/>
      <c r="C22" s="9"/>
    </row>
    <row r="23" spans="1:10" x14ac:dyDescent="0.25">
      <c r="A23" s="15" t="s">
        <v>35</v>
      </c>
      <c r="B23" s="13" t="s">
        <v>26</v>
      </c>
      <c r="C23" s="13" t="s">
        <v>27</v>
      </c>
      <c r="D23" s="13" t="s">
        <v>28</v>
      </c>
      <c r="E23" s="13" t="s">
        <v>29</v>
      </c>
      <c r="F23" s="13" t="s">
        <v>30</v>
      </c>
      <c r="G23" s="13" t="s">
        <v>31</v>
      </c>
      <c r="H23" s="2">
        <v>3</v>
      </c>
      <c r="I23" s="2">
        <v>4</v>
      </c>
      <c r="J23" s="2">
        <v>6</v>
      </c>
    </row>
    <row r="24" spans="1:10" ht="13" x14ac:dyDescent="0.3">
      <c r="A24" s="15" t="s">
        <v>32</v>
      </c>
      <c r="B24" s="102">
        <v>0</v>
      </c>
      <c r="C24" s="102">
        <v>0</v>
      </c>
      <c r="D24" s="102">
        <v>0</v>
      </c>
      <c r="E24" s="102">
        <v>0</v>
      </c>
      <c r="F24" s="102">
        <v>0</v>
      </c>
      <c r="G24" s="91">
        <v>0</v>
      </c>
      <c r="H24" s="102">
        <v>0</v>
      </c>
      <c r="I24" s="91">
        <v>0</v>
      </c>
      <c r="J24" s="102">
        <v>0</v>
      </c>
    </row>
    <row r="25" spans="1:10" ht="13" x14ac:dyDescent="0.3">
      <c r="A25" s="16" t="s">
        <v>34</v>
      </c>
      <c r="B25" s="10">
        <f>B24*0.039</f>
        <v>0</v>
      </c>
      <c r="C25" s="10">
        <f>C24*0.087</f>
        <v>0</v>
      </c>
      <c r="D25" s="10">
        <f>D24*0.154</f>
        <v>0</v>
      </c>
      <c r="E25" s="10">
        <f>E24*0.241</f>
        <v>0</v>
      </c>
      <c r="F25" s="10">
        <f>F24*0.347</f>
        <v>0</v>
      </c>
      <c r="G25" s="10">
        <f>G24*0.617</f>
        <v>0</v>
      </c>
      <c r="H25" s="10">
        <f>H24*1.39</f>
        <v>0</v>
      </c>
      <c r="I25" s="10">
        <f>I24*2.47</f>
        <v>0</v>
      </c>
      <c r="J25" s="10">
        <f>J24*5.56</f>
        <v>0</v>
      </c>
    </row>
    <row r="26" spans="1:10" ht="13" x14ac:dyDescent="0.3">
      <c r="A26" s="17"/>
      <c r="B26" s="10"/>
      <c r="C26" s="10"/>
      <c r="D26" s="10"/>
      <c r="E26" s="10"/>
      <c r="F26" s="10"/>
      <c r="G26" s="10"/>
    </row>
    <row r="27" spans="1:10" ht="13" x14ac:dyDescent="0.3">
      <c r="A27" s="17"/>
      <c r="B27" s="14"/>
      <c r="C27" s="14"/>
      <c r="D27" s="14"/>
      <c r="E27" s="175" t="s">
        <v>33</v>
      </c>
      <c r="F27" s="175"/>
      <c r="G27" s="20">
        <f>SUM(B25:H25)</f>
        <v>0</v>
      </c>
      <c r="H27" s="19" t="s">
        <v>15</v>
      </c>
    </row>
    <row r="28" spans="1:10" ht="13" x14ac:dyDescent="0.3">
      <c r="A28" s="17"/>
      <c r="B28" s="14"/>
      <c r="C28" s="14"/>
      <c r="D28" s="14"/>
      <c r="E28" s="22"/>
      <c r="F28" s="22"/>
      <c r="G28" s="20"/>
      <c r="H28" s="19"/>
    </row>
    <row r="29" spans="1:10" ht="13" x14ac:dyDescent="0.3">
      <c r="A29" s="17"/>
      <c r="B29" s="14"/>
      <c r="C29" s="14"/>
      <c r="D29" s="14"/>
      <c r="E29" s="22"/>
      <c r="F29" s="22" t="s">
        <v>52</v>
      </c>
      <c r="G29" s="110">
        <v>1.2</v>
      </c>
      <c r="H29" s="19"/>
    </row>
    <row r="30" spans="1:10" ht="13" x14ac:dyDescent="0.3">
      <c r="A30" s="17"/>
      <c r="B30" s="14"/>
      <c r="C30" s="14"/>
      <c r="D30" s="22"/>
      <c r="E30" s="22"/>
      <c r="F30" s="22"/>
      <c r="G30" s="24"/>
      <c r="H30" s="6"/>
      <c r="I30" s="6"/>
      <c r="J30" s="6"/>
    </row>
    <row r="31" spans="1:10" ht="12.75" customHeight="1" x14ac:dyDescent="0.3">
      <c r="A31" s="17"/>
      <c r="B31" s="14"/>
      <c r="C31" s="14"/>
      <c r="D31" s="175" t="s">
        <v>85</v>
      </c>
      <c r="E31" s="175"/>
      <c r="F31" s="175"/>
      <c r="G31" s="145">
        <f>G27*G29</f>
        <v>0</v>
      </c>
      <c r="H31" s="18" t="s">
        <v>15</v>
      </c>
    </row>
    <row r="32" spans="1:10" ht="12.75" customHeight="1" x14ac:dyDescent="0.3">
      <c r="A32" s="17"/>
      <c r="B32" s="14"/>
      <c r="C32" s="14"/>
      <c r="D32" s="22"/>
      <c r="E32" s="22"/>
      <c r="F32" s="22"/>
      <c r="G32" s="142"/>
      <c r="H32" s="6"/>
    </row>
    <row r="33" spans="1:10" ht="12.75" customHeight="1" x14ac:dyDescent="0.3">
      <c r="A33" s="17"/>
      <c r="B33" s="14"/>
      <c r="C33" s="14"/>
      <c r="D33" s="22"/>
      <c r="E33" s="199" t="s">
        <v>134</v>
      </c>
      <c r="F33" s="196"/>
      <c r="G33" s="146">
        <v>100</v>
      </c>
      <c r="H33" s="144">
        <f>1/G33*100</f>
        <v>1</v>
      </c>
      <c r="I33" s="3" t="s">
        <v>133</v>
      </c>
    </row>
    <row r="34" spans="1:10" ht="12.75" customHeight="1" x14ac:dyDescent="0.25"/>
    <row r="35" spans="1:10" ht="16.5" customHeight="1" thickBot="1" x14ac:dyDescent="0.4">
      <c r="A35" s="179" t="s">
        <v>0</v>
      </c>
      <c r="B35" s="200"/>
      <c r="C35" s="200"/>
      <c r="D35" s="11"/>
      <c r="E35" s="180" t="s">
        <v>56</v>
      </c>
      <c r="F35" s="180"/>
      <c r="G35" s="143" t="s">
        <v>135</v>
      </c>
      <c r="H35" s="180" t="s">
        <v>136</v>
      </c>
      <c r="I35" s="201"/>
      <c r="J35" s="11"/>
    </row>
    <row r="36" spans="1:10" ht="13.5" customHeight="1" thickTop="1" x14ac:dyDescent="0.35">
      <c r="A36" s="7"/>
      <c r="B36" s="7"/>
      <c r="C36" s="7"/>
      <c r="D36" s="7"/>
      <c r="E36" s="5"/>
      <c r="F36" s="5"/>
    </row>
    <row r="37" spans="1:10" ht="12.65" customHeight="1" x14ac:dyDescent="0.3">
      <c r="A37" s="147" t="s">
        <v>46</v>
      </c>
      <c r="B37" s="148" t="s">
        <v>61</v>
      </c>
      <c r="C37" s="148" t="s">
        <v>47</v>
      </c>
      <c r="D37" s="149">
        <v>0</v>
      </c>
      <c r="E37" s="150">
        <f>G31*D37/1000</f>
        <v>0</v>
      </c>
      <c r="F37" s="151" t="s">
        <v>15</v>
      </c>
      <c r="G37" s="152">
        <f>IF(I37-E37&lt;0,"Error",I37-E37)</f>
        <v>0</v>
      </c>
      <c r="H37" s="153" t="s">
        <v>15</v>
      </c>
      <c r="I37" s="154">
        <f t="shared" ref="I37:I38" si="0">$H$33/100*$G$31</f>
        <v>0</v>
      </c>
      <c r="J37" s="155" t="s">
        <v>15</v>
      </c>
    </row>
    <row r="38" spans="1:10" ht="15" customHeight="1" x14ac:dyDescent="0.3">
      <c r="A38" s="156" t="s">
        <v>90</v>
      </c>
      <c r="B38" s="148" t="s">
        <v>61</v>
      </c>
      <c r="C38" s="148" t="s">
        <v>47</v>
      </c>
      <c r="D38" s="149">
        <v>0</v>
      </c>
      <c r="E38" s="150">
        <f>G31*D38/1000</f>
        <v>0</v>
      </c>
      <c r="F38" s="154" t="s">
        <v>15</v>
      </c>
      <c r="G38" s="157">
        <f>IF(I38-E38&lt;0,"Error",I38-E38)</f>
        <v>0</v>
      </c>
      <c r="H38" s="153" t="s">
        <v>15</v>
      </c>
      <c r="I38" s="154">
        <f t="shared" si="0"/>
        <v>0</v>
      </c>
      <c r="J38" s="155" t="s">
        <v>15</v>
      </c>
    </row>
    <row r="39" spans="1:10" ht="13" x14ac:dyDescent="0.3">
      <c r="A39" s="158" t="s">
        <v>48</v>
      </c>
      <c r="B39" s="148" t="s">
        <v>61</v>
      </c>
      <c r="C39" s="159" t="s">
        <v>51</v>
      </c>
      <c r="D39" s="149">
        <v>0</v>
      </c>
      <c r="E39" s="150">
        <f t="shared" ref="E39:E40" si="1">G32*D39/1000</f>
        <v>0</v>
      </c>
      <c r="F39" s="154" t="s">
        <v>15</v>
      </c>
      <c r="G39" s="157">
        <f t="shared" ref="G39:G41" si="2">IF(I39-E39&lt;0,"Error",I39-E39)</f>
        <v>0</v>
      </c>
      <c r="H39" s="153" t="s">
        <v>15</v>
      </c>
      <c r="I39" s="154">
        <f>$H$33/100*$G$31</f>
        <v>0</v>
      </c>
      <c r="J39" s="155" t="s">
        <v>15</v>
      </c>
    </row>
    <row r="40" spans="1:10" ht="13" x14ac:dyDescent="0.3">
      <c r="A40" s="158" t="s">
        <v>132</v>
      </c>
      <c r="B40" s="148" t="s">
        <v>61</v>
      </c>
      <c r="C40" s="159" t="s">
        <v>51</v>
      </c>
      <c r="D40" s="149">
        <v>0</v>
      </c>
      <c r="E40" s="150">
        <f t="shared" si="1"/>
        <v>0</v>
      </c>
      <c r="F40" s="154" t="s">
        <v>15</v>
      </c>
      <c r="G40" s="157">
        <f t="shared" si="2"/>
        <v>0</v>
      </c>
      <c r="H40" s="153" t="s">
        <v>15</v>
      </c>
      <c r="I40" s="154">
        <f t="shared" ref="I40:I42" si="3">$H$33/100*$G$31</f>
        <v>0</v>
      </c>
      <c r="J40" s="155" t="s">
        <v>15</v>
      </c>
    </row>
    <row r="41" spans="1:10" ht="13" x14ac:dyDescent="0.3">
      <c r="A41" s="158" t="s">
        <v>5</v>
      </c>
      <c r="B41" s="148" t="s">
        <v>61</v>
      </c>
      <c r="C41" s="160" t="s">
        <v>58</v>
      </c>
      <c r="D41" s="161" t="s">
        <v>58</v>
      </c>
      <c r="E41" s="150">
        <f>IF(D41=0,0,G31/256)</f>
        <v>0</v>
      </c>
      <c r="F41" s="154" t="s">
        <v>15</v>
      </c>
      <c r="G41" s="157">
        <f t="shared" si="2"/>
        <v>0</v>
      </c>
      <c r="H41" s="153" t="s">
        <v>15</v>
      </c>
      <c r="I41" s="154">
        <f t="shared" si="3"/>
        <v>0</v>
      </c>
      <c r="J41" s="155" t="s">
        <v>15</v>
      </c>
    </row>
    <row r="42" spans="1:10" ht="13" x14ac:dyDescent="0.3">
      <c r="A42" s="158" t="s">
        <v>6</v>
      </c>
      <c r="B42" s="148" t="s">
        <v>61</v>
      </c>
      <c r="C42" s="160" t="s">
        <v>59</v>
      </c>
      <c r="D42" s="161" t="s">
        <v>137</v>
      </c>
      <c r="E42" s="150">
        <f>D42/100*G31</f>
        <v>0</v>
      </c>
      <c r="F42" s="154" t="s">
        <v>16</v>
      </c>
      <c r="G42" s="157">
        <f>IF(E42*(20*D42)&lt;I42,I42,IF(E42*(20*D42)=I42,I42,"Error"))</f>
        <v>0</v>
      </c>
      <c r="H42" s="153" t="s">
        <v>15</v>
      </c>
      <c r="I42" s="154">
        <f t="shared" si="3"/>
        <v>0</v>
      </c>
      <c r="J42" s="155" t="s">
        <v>15</v>
      </c>
    </row>
  </sheetData>
  <sheetProtection selectLockedCells="1"/>
  <mergeCells count="19">
    <mergeCell ref="E33:F33"/>
    <mergeCell ref="A35:C35"/>
    <mergeCell ref="H35:I35"/>
    <mergeCell ref="A15:D15"/>
    <mergeCell ref="B12:D12"/>
    <mergeCell ref="B13:D13"/>
    <mergeCell ref="B14:D14"/>
    <mergeCell ref="A21:G21"/>
    <mergeCell ref="A17:D17"/>
    <mergeCell ref="A18:D18"/>
    <mergeCell ref="A19:D19"/>
    <mergeCell ref="E35:F35"/>
    <mergeCell ref="E27:F27"/>
    <mergeCell ref="D31:F31"/>
    <mergeCell ref="A6:D6"/>
    <mergeCell ref="B8:D8"/>
    <mergeCell ref="B9:D9"/>
    <mergeCell ref="B10:D10"/>
    <mergeCell ref="B11:D11"/>
  </mergeCells>
  <dataValidations count="6">
    <dataValidation type="list" allowBlank="1" showInputMessage="1" showErrorMessage="1" sqref="G33" xr:uid="{00000000-0002-0000-0200-000000000000}">
      <formula1>"1,5,10,20,30,40,50,60,70,80,90,100,128,250,500"</formula1>
    </dataValidation>
    <dataValidation type="list" allowBlank="1" showInputMessage="1" showErrorMessage="1" sqref="D37" xr:uid="{00000000-0002-0000-0200-000001000000}">
      <formula1>"0,2,4,5,6,7,8,9,10,11,12,13,14,15,16,17,18,19,20,21,22,23,24"</formula1>
    </dataValidation>
    <dataValidation type="list" allowBlank="1" showInputMessage="1" showErrorMessage="1" sqref="D38" xr:uid="{00000000-0002-0000-0200-000002000000}">
      <formula1>"0,2,3,4,5,6,7,8,9,10,11,12,13,14,15,16,17,18,19,20,21,22,23,24"</formula1>
    </dataValidation>
    <dataValidation type="list" allowBlank="1" showInputMessage="1" showErrorMessage="1" sqref="D39:D40" xr:uid="{00000000-0002-0000-0200-000003000000}">
      <formula1>"0,4"</formula1>
    </dataValidation>
    <dataValidation type="list" allowBlank="1" showInputMessage="1" showErrorMessage="1" sqref="D41" xr:uid="{00000000-0002-0000-0200-000004000000}">
      <formula1>"0,1 : 256"</formula1>
    </dataValidation>
    <dataValidation type="list" allowBlank="1" showInputMessage="1" showErrorMessage="1" sqref="D42" xr:uid="{00000000-0002-0000-0200-000005000000}">
      <formula1>"0,0.1,1"</formula1>
    </dataValidation>
  </dataValidations>
  <pageMargins left="0.74803149606299213" right="0.74803149606299213" top="0.19685039370078741" bottom="0.19685039370078741" header="0.51181102362204722" footer="0.51181102362204722"/>
  <pageSetup orientation="portrait" r:id="rId1"/>
  <headerFooter alignWithMargins="0"/>
  <ignoredErrors>
    <ignoredError sqref="D23:G23 C42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80"/>
  <sheetViews>
    <sheetView showGridLines="0" topLeftCell="A7" zoomScaleNormal="100" workbookViewId="0">
      <selection activeCell="K23" sqref="K23"/>
    </sheetView>
  </sheetViews>
  <sheetFormatPr defaultColWidth="11.453125" defaultRowHeight="12.5" x14ac:dyDescent="0.25"/>
  <cols>
    <col min="1" max="1" width="16.36328125" customWidth="1"/>
    <col min="2" max="2" width="9.08984375" style="1" bestFit="1" customWidth="1"/>
    <col min="3" max="3" width="6" style="1" customWidth="1"/>
    <col min="4" max="4" width="9.08984375" style="2" bestFit="1" customWidth="1"/>
    <col min="5" max="5" width="12.08984375" style="2" bestFit="1" customWidth="1"/>
    <col min="6" max="6" width="11.6328125" customWidth="1"/>
    <col min="7" max="7" width="5.36328125" customWidth="1"/>
    <col min="8" max="8" width="11.6328125" customWidth="1"/>
    <col min="9" max="9" width="5.36328125" customWidth="1"/>
    <col min="10" max="10" width="3.08984375" customWidth="1"/>
    <col min="11" max="11" width="16.36328125" customWidth="1"/>
    <col min="12" max="13" width="10.36328125" style="2" customWidth="1"/>
    <col min="14" max="14" width="11.6328125" style="2" customWidth="1"/>
    <col min="15" max="18" width="10.36328125" customWidth="1"/>
  </cols>
  <sheetData>
    <row r="1" spans="1:18" ht="12.75" customHeight="1" x14ac:dyDescent="0.25">
      <c r="B1"/>
      <c r="C1"/>
      <c r="D1"/>
      <c r="E1"/>
      <c r="L1"/>
      <c r="M1"/>
      <c r="N1"/>
    </row>
    <row r="2" spans="1:18" ht="23" x14ac:dyDescent="0.5">
      <c r="A2" s="4" t="s">
        <v>45</v>
      </c>
      <c r="K2" s="4" t="s">
        <v>45</v>
      </c>
      <c r="L2" s="1"/>
      <c r="M2" s="1"/>
    </row>
    <row r="3" spans="1:18" x14ac:dyDescent="0.25">
      <c r="L3" s="1"/>
      <c r="M3" s="1"/>
    </row>
    <row r="4" spans="1:18" ht="16" thickBot="1" x14ac:dyDescent="0.4">
      <c r="A4" s="179" t="s">
        <v>22</v>
      </c>
      <c r="B4" s="179"/>
      <c r="C4" s="179"/>
      <c r="D4" s="179"/>
      <c r="E4" s="179"/>
      <c r="H4" s="193" t="s">
        <v>50</v>
      </c>
      <c r="I4" s="193"/>
      <c r="J4" s="25"/>
      <c r="K4" s="179" t="s">
        <v>22</v>
      </c>
      <c r="L4" s="179"/>
      <c r="M4" s="179"/>
      <c r="N4" s="179"/>
      <c r="O4" s="7"/>
      <c r="Q4" s="193" t="s">
        <v>50</v>
      </c>
      <c r="R4" s="193"/>
    </row>
    <row r="5" spans="1:18" ht="12.75" customHeight="1" thickTop="1" x14ac:dyDescent="0.25">
      <c r="F5" s="26"/>
      <c r="G5" s="26"/>
      <c r="H5" s="32">
        <f>F15*F16</f>
        <v>0</v>
      </c>
      <c r="I5" s="25" t="s">
        <v>23</v>
      </c>
      <c r="J5" s="25"/>
      <c r="L5" s="1"/>
      <c r="M5" s="1"/>
      <c r="O5" s="19"/>
      <c r="P5" s="19"/>
      <c r="Q5" s="41"/>
      <c r="R5" s="19"/>
    </row>
    <row r="6" spans="1:18" ht="12.75" customHeight="1" x14ac:dyDescent="0.3">
      <c r="A6" s="3" t="s">
        <v>12</v>
      </c>
      <c r="B6" s="194" t="str">
        <f>IF(INFORMATION!C17&gt;0,INFORMATION!C17," ")</f>
        <v xml:space="preserve"> </v>
      </c>
      <c r="C6" s="194"/>
      <c r="D6" s="194"/>
      <c r="E6" s="194"/>
      <c r="H6" s="32">
        <f>H15*H16</f>
        <v>0</v>
      </c>
      <c r="I6" s="33" t="s">
        <v>24</v>
      </c>
      <c r="J6" s="33"/>
      <c r="K6" s="3" t="s">
        <v>12</v>
      </c>
      <c r="L6" s="194" t="str">
        <f t="shared" ref="L6:L11" si="0">B6</f>
        <v xml:space="preserve"> </v>
      </c>
      <c r="M6" s="194"/>
      <c r="N6" s="194"/>
      <c r="O6" s="194"/>
      <c r="P6" s="41"/>
      <c r="Q6" s="41"/>
      <c r="R6" s="42"/>
    </row>
    <row r="7" spans="1:18" ht="12.75" customHeight="1" x14ac:dyDescent="0.3">
      <c r="A7" s="3" t="s">
        <v>13</v>
      </c>
      <c r="B7" s="194" t="str">
        <f>IF(INFORMATION!C18&gt;0,INFORMATION!C18," ")</f>
        <v xml:space="preserve"> </v>
      </c>
      <c r="C7" s="194"/>
      <c r="D7" s="194"/>
      <c r="E7" s="194"/>
      <c r="H7" s="34">
        <f>IF(H6&gt;0,H6,H5*0.0929)</f>
        <v>0</v>
      </c>
      <c r="I7" s="33" t="s">
        <v>24</v>
      </c>
      <c r="J7" s="33"/>
      <c r="K7" s="3" t="s">
        <v>13</v>
      </c>
      <c r="L7" s="194" t="str">
        <f t="shared" si="0"/>
        <v xml:space="preserve"> </v>
      </c>
      <c r="M7" s="194"/>
      <c r="N7" s="194"/>
      <c r="O7" s="194"/>
      <c r="P7" s="41"/>
      <c r="Q7" s="43"/>
      <c r="R7" s="42"/>
    </row>
    <row r="8" spans="1:18" ht="12.75" customHeight="1" x14ac:dyDescent="0.3">
      <c r="A8" s="3" t="s">
        <v>63</v>
      </c>
      <c r="B8" s="194" t="str">
        <f>IF(INFORMATION!C19&gt;0,INFORMATION!C19," ")</f>
        <v xml:space="preserve"> </v>
      </c>
      <c r="C8" s="194"/>
      <c r="D8" s="194"/>
      <c r="E8" s="194"/>
      <c r="H8" s="193" t="s">
        <v>62</v>
      </c>
      <c r="I8" s="193"/>
      <c r="J8" s="25"/>
      <c r="K8" s="3" t="s">
        <v>63</v>
      </c>
      <c r="L8" s="194" t="str">
        <f t="shared" si="0"/>
        <v xml:space="preserve"> </v>
      </c>
      <c r="M8" s="194"/>
      <c r="N8" s="194"/>
      <c r="O8" s="194"/>
      <c r="P8" s="41"/>
      <c r="Q8" s="197"/>
      <c r="R8" s="197"/>
    </row>
    <row r="9" spans="1:18" ht="12.75" customHeight="1" x14ac:dyDescent="0.3">
      <c r="A9" s="3" t="s">
        <v>14</v>
      </c>
      <c r="B9" s="194" t="str">
        <f>IF(INFORMATION!C20&gt;0,INFORMATION!C20," ")</f>
        <v xml:space="preserve"> </v>
      </c>
      <c r="C9" s="194"/>
      <c r="D9" s="194"/>
      <c r="E9" s="194"/>
      <c r="H9" s="34">
        <f>F19-(F15*F16)</f>
        <v>0</v>
      </c>
      <c r="I9" s="25" t="s">
        <v>23</v>
      </c>
      <c r="J9" s="25"/>
      <c r="K9" s="3" t="s">
        <v>14</v>
      </c>
      <c r="L9" s="194" t="str">
        <f t="shared" si="0"/>
        <v xml:space="preserve"> </v>
      </c>
      <c r="M9" s="194"/>
      <c r="N9" s="194"/>
      <c r="O9" s="194"/>
      <c r="P9" s="41"/>
      <c r="Q9" s="43"/>
      <c r="R9" s="19"/>
    </row>
    <row r="10" spans="1:18" ht="12.75" customHeight="1" x14ac:dyDescent="0.3">
      <c r="A10" s="3" t="s">
        <v>64</v>
      </c>
      <c r="B10" s="194" t="str">
        <f>IF(INFORMATION!C21&gt;0,INFORMATION!C21," ")</f>
        <v xml:space="preserve"> </v>
      </c>
      <c r="C10" s="194"/>
      <c r="D10" s="194"/>
      <c r="E10" s="194"/>
      <c r="H10" s="32">
        <f>H19-(H15*H16)</f>
        <v>0</v>
      </c>
      <c r="I10" s="33" t="s">
        <v>24</v>
      </c>
      <c r="J10" s="33"/>
      <c r="K10" s="3" t="s">
        <v>64</v>
      </c>
      <c r="L10" s="194" t="str">
        <f t="shared" si="0"/>
        <v xml:space="preserve"> </v>
      </c>
      <c r="M10" s="194"/>
      <c r="N10" s="194"/>
      <c r="O10" s="194"/>
      <c r="P10" s="41"/>
      <c r="Q10" s="41"/>
      <c r="R10" s="42"/>
    </row>
    <row r="11" spans="1:18" ht="12.75" customHeight="1" x14ac:dyDescent="0.3">
      <c r="A11" s="3" t="s">
        <v>65</v>
      </c>
      <c r="B11" s="194" t="str">
        <f>IF(INFORMATION!C22&gt;0,INFORMATION!C22," ")</f>
        <v xml:space="preserve"> </v>
      </c>
      <c r="C11" s="194"/>
      <c r="D11" s="194"/>
      <c r="E11" s="194"/>
      <c r="H11" s="34">
        <f>IF(H19&gt;0,H19,H9*0.0929)</f>
        <v>0</v>
      </c>
      <c r="I11" s="33" t="s">
        <v>24</v>
      </c>
      <c r="J11" s="33"/>
      <c r="K11" s="3" t="s">
        <v>65</v>
      </c>
      <c r="L11" s="194" t="str">
        <f t="shared" si="0"/>
        <v xml:space="preserve"> </v>
      </c>
      <c r="M11" s="194"/>
      <c r="N11" s="194"/>
      <c r="O11" s="194"/>
      <c r="P11" s="41"/>
      <c r="Q11" s="43"/>
      <c r="R11" s="42"/>
    </row>
    <row r="12" spans="1:18" ht="12.75" customHeight="1" x14ac:dyDescent="0.25">
      <c r="F12" s="35"/>
      <c r="G12" s="35"/>
      <c r="L12" s="1"/>
      <c r="M12" s="1"/>
      <c r="O12" s="41"/>
      <c r="P12" s="41"/>
      <c r="Q12" s="41"/>
      <c r="R12" s="41"/>
    </row>
    <row r="13" spans="1:18" ht="16" thickBot="1" x14ac:dyDescent="0.4">
      <c r="A13" s="187" t="s">
        <v>84</v>
      </c>
      <c r="B13" s="187"/>
      <c r="C13" s="187"/>
      <c r="D13" s="37"/>
      <c r="E13" s="21"/>
      <c r="F13" s="195" t="s">
        <v>72</v>
      </c>
      <c r="G13" s="195"/>
      <c r="H13" s="195"/>
      <c r="I13" s="195"/>
      <c r="J13" s="21"/>
      <c r="L13"/>
      <c r="M13"/>
      <c r="N13"/>
    </row>
    <row r="14" spans="1:18" ht="12.75" customHeight="1" thickTop="1" x14ac:dyDescent="0.3">
      <c r="F14" s="188" t="s">
        <v>2</v>
      </c>
      <c r="G14" s="188"/>
      <c r="H14" s="189" t="s">
        <v>3</v>
      </c>
      <c r="I14" s="188"/>
      <c r="J14" s="6"/>
      <c r="L14"/>
      <c r="M14"/>
      <c r="N14"/>
    </row>
    <row r="15" spans="1:18" ht="12.75" customHeight="1" x14ac:dyDescent="0.3">
      <c r="A15" s="198"/>
      <c r="B15" s="183"/>
      <c r="C15" s="183"/>
      <c r="D15" s="175" t="s">
        <v>87</v>
      </c>
      <c r="E15" s="175"/>
      <c r="F15" s="109">
        <v>0</v>
      </c>
      <c r="G15" s="44"/>
      <c r="H15" s="89">
        <v>0</v>
      </c>
      <c r="I15" s="45"/>
      <c r="L15"/>
      <c r="M15"/>
      <c r="N15"/>
    </row>
    <row r="16" spans="1:18" ht="12.75" customHeight="1" x14ac:dyDescent="0.3">
      <c r="A16" s="182"/>
      <c r="B16" s="183"/>
      <c r="C16" s="183"/>
      <c r="D16" s="175" t="s">
        <v>1</v>
      </c>
      <c r="E16" s="175"/>
      <c r="F16" s="109">
        <v>0</v>
      </c>
      <c r="G16" s="44"/>
      <c r="H16" s="89">
        <v>0</v>
      </c>
      <c r="I16" s="45"/>
      <c r="L16"/>
      <c r="M16"/>
      <c r="N16"/>
    </row>
    <row r="17" spans="1:14" ht="12.75" customHeight="1" x14ac:dyDescent="0.3">
      <c r="A17" s="185"/>
      <c r="B17" s="185"/>
      <c r="C17" s="185"/>
      <c r="D17" s="175" t="s">
        <v>4</v>
      </c>
      <c r="E17" s="175"/>
      <c r="F17" s="109">
        <v>0</v>
      </c>
      <c r="G17" s="44"/>
      <c r="H17" s="89">
        <v>0</v>
      </c>
      <c r="I17" s="45"/>
      <c r="L17"/>
      <c r="M17"/>
      <c r="N17"/>
    </row>
    <row r="18" spans="1:14" ht="12.75" customHeight="1" x14ac:dyDescent="0.3">
      <c r="A18" s="1"/>
      <c r="D18" s="175" t="s">
        <v>7</v>
      </c>
      <c r="E18" s="175"/>
      <c r="F18" s="109">
        <v>0</v>
      </c>
      <c r="G18" s="44"/>
      <c r="H18" s="89">
        <v>0</v>
      </c>
      <c r="I18" s="45"/>
      <c r="L18"/>
      <c r="M18"/>
      <c r="N18"/>
    </row>
    <row r="19" spans="1:14" ht="12.75" customHeight="1" x14ac:dyDescent="0.3">
      <c r="A19" s="46"/>
      <c r="B19" s="47"/>
      <c r="D19" s="175" t="s">
        <v>60</v>
      </c>
      <c r="E19" s="175"/>
      <c r="F19" s="41">
        <f>((((F15*2)+(F16*2))*F17)+(2*F15*F16))*F18</f>
        <v>0</v>
      </c>
      <c r="G19" s="19" t="s">
        <v>9</v>
      </c>
      <c r="H19">
        <f>((((H15*2)+(H16*2))*H17)+(2*H15*H16))*H18</f>
        <v>0</v>
      </c>
      <c r="I19" s="42" t="s">
        <v>10</v>
      </c>
      <c r="J19" s="48"/>
      <c r="L19"/>
      <c r="M19"/>
      <c r="N19"/>
    </row>
    <row r="20" spans="1:14" ht="12.75" customHeight="1" x14ac:dyDescent="0.3">
      <c r="A20" s="1"/>
      <c r="D20" s="175"/>
      <c r="E20" s="175"/>
      <c r="G20" s="19" t="s">
        <v>8</v>
      </c>
      <c r="H20" s="90">
        <f>IF(H19&gt;0,H19,F19*0.0929)</f>
        <v>0</v>
      </c>
      <c r="I20" s="49" t="s">
        <v>10</v>
      </c>
      <c r="J20" s="50"/>
      <c r="L20"/>
      <c r="M20"/>
      <c r="N20"/>
    </row>
    <row r="21" spans="1:14" ht="12.75" customHeight="1" x14ac:dyDescent="0.3">
      <c r="A21" s="46"/>
      <c r="B21" s="51"/>
      <c r="C21" s="6"/>
      <c r="D21" s="191" t="s">
        <v>73</v>
      </c>
      <c r="E21" s="191"/>
      <c r="F21" s="191"/>
      <c r="G21" s="191"/>
      <c r="H21" s="43">
        <f>H11</f>
        <v>0</v>
      </c>
      <c r="I21" s="42" t="s">
        <v>10</v>
      </c>
      <c r="J21" s="42"/>
      <c r="L21"/>
      <c r="M21"/>
      <c r="N21"/>
    </row>
    <row r="22" spans="1:14" ht="12.75" customHeight="1" x14ac:dyDescent="0.25">
      <c r="D22" s="175" t="s">
        <v>33</v>
      </c>
      <c r="E22" s="175"/>
      <c r="F22" s="41">
        <f>F15*F16*F17*F18</f>
        <v>0</v>
      </c>
      <c r="G22" s="19" t="s">
        <v>17</v>
      </c>
      <c r="H22">
        <f>H15*H16*H17*H18</f>
        <v>0</v>
      </c>
      <c r="I22" s="42" t="s">
        <v>11</v>
      </c>
      <c r="J22" s="48"/>
      <c r="L22"/>
      <c r="M22"/>
      <c r="N22"/>
    </row>
    <row r="23" spans="1:14" ht="12.75" customHeight="1" x14ac:dyDescent="0.3">
      <c r="D23" s="175"/>
      <c r="E23" s="175"/>
      <c r="F23" s="35"/>
      <c r="G23" s="19" t="s">
        <v>8</v>
      </c>
      <c r="H23" s="90">
        <f>IF(H22&gt;0,H22,F22*0.0283)</f>
        <v>0</v>
      </c>
      <c r="I23" s="49" t="s">
        <v>11</v>
      </c>
      <c r="J23" s="50"/>
      <c r="L23"/>
      <c r="M23"/>
      <c r="N23"/>
    </row>
    <row r="24" spans="1:14" ht="12.75" customHeight="1" x14ac:dyDescent="0.25">
      <c r="D24"/>
      <c r="E24"/>
      <c r="F24" s="35"/>
      <c r="G24" s="2"/>
      <c r="L24"/>
      <c r="M24"/>
      <c r="N24"/>
    </row>
    <row r="25" spans="1:14" ht="13.5" customHeight="1" x14ac:dyDescent="0.25">
      <c r="L25"/>
      <c r="M25"/>
      <c r="N25"/>
    </row>
    <row r="26" spans="1:14" ht="16" thickBot="1" x14ac:dyDescent="0.4">
      <c r="A26" s="112" t="s">
        <v>18</v>
      </c>
      <c r="B26" s="86"/>
      <c r="C26" s="86"/>
      <c r="D26" s="87"/>
      <c r="E26" s="87"/>
      <c r="F26" s="180" t="s">
        <v>55</v>
      </c>
      <c r="G26" s="180"/>
      <c r="H26" s="180" t="s">
        <v>56</v>
      </c>
      <c r="I26" s="180"/>
      <c r="J26" s="6"/>
      <c r="K26" s="6"/>
    </row>
    <row r="27" spans="1:14" ht="13.5" customHeight="1" thickTop="1" x14ac:dyDescent="0.3">
      <c r="A27" s="3" t="s">
        <v>19</v>
      </c>
      <c r="B27" s="54" t="s">
        <v>57</v>
      </c>
      <c r="C27" s="8"/>
      <c r="D27" s="203" t="s">
        <v>42</v>
      </c>
      <c r="E27" s="204"/>
      <c r="F27" s="205" t="s">
        <v>21</v>
      </c>
      <c r="G27" s="203"/>
      <c r="H27" s="88">
        <f>H23/100*0.2</f>
        <v>0</v>
      </c>
      <c r="I27" s="2" t="s">
        <v>15</v>
      </c>
      <c r="J27" s="2"/>
    </row>
    <row r="28" spans="1:14" ht="13.5" customHeight="1" x14ac:dyDescent="0.3">
      <c r="A28" s="3" t="s">
        <v>20</v>
      </c>
      <c r="B28" s="54" t="s">
        <v>53</v>
      </c>
      <c r="C28" s="8"/>
      <c r="D28" s="203" t="s">
        <v>43</v>
      </c>
      <c r="E28" s="204"/>
      <c r="F28" s="205" t="s">
        <v>21</v>
      </c>
      <c r="G28" s="203"/>
      <c r="H28" s="88">
        <f>H23/100*4</f>
        <v>0</v>
      </c>
      <c r="I28" s="2" t="s">
        <v>15</v>
      </c>
      <c r="J28" s="2"/>
    </row>
    <row r="52" spans="1:14" s="1" customFormat="1" x14ac:dyDescent="0.25">
      <c r="A52"/>
      <c r="D52" s="2"/>
      <c r="E52" s="2"/>
      <c r="F52"/>
      <c r="G52"/>
      <c r="H52"/>
      <c r="I52"/>
      <c r="J52"/>
      <c r="K52"/>
      <c r="L52" s="2"/>
      <c r="M52" s="2"/>
      <c r="N52" s="2"/>
    </row>
    <row r="53" spans="1:14" s="1" customFormat="1" x14ac:dyDescent="0.25">
      <c r="A53"/>
      <c r="D53" s="2"/>
      <c r="E53" s="2"/>
      <c r="F53"/>
      <c r="G53"/>
      <c r="H53"/>
      <c r="I53"/>
      <c r="J53"/>
      <c r="K53"/>
      <c r="L53" s="2"/>
      <c r="M53" s="2"/>
      <c r="N53" s="2"/>
    </row>
    <row r="54" spans="1:14" s="1" customFormat="1" x14ac:dyDescent="0.25">
      <c r="A54"/>
      <c r="D54" s="2"/>
      <c r="E54" s="2"/>
      <c r="F54"/>
      <c r="G54"/>
      <c r="H54"/>
      <c r="I54"/>
      <c r="J54"/>
      <c r="K54"/>
      <c r="L54" s="2"/>
      <c r="M54" s="2"/>
      <c r="N54" s="2"/>
    </row>
    <row r="55" spans="1:14" s="1" customFormat="1" x14ac:dyDescent="0.25">
      <c r="A55"/>
      <c r="D55" s="2"/>
      <c r="E55" s="2"/>
      <c r="F55"/>
      <c r="G55"/>
      <c r="H55"/>
      <c r="I55"/>
      <c r="J55"/>
      <c r="K55"/>
      <c r="L55" s="2"/>
      <c r="M55" s="2"/>
      <c r="N55" s="2"/>
    </row>
    <row r="56" spans="1:14" s="1" customFormat="1" x14ac:dyDescent="0.25">
      <c r="D56" s="2"/>
      <c r="E56" s="2"/>
      <c r="F56"/>
      <c r="G56"/>
      <c r="H56"/>
      <c r="I56"/>
      <c r="J56"/>
      <c r="K56"/>
      <c r="L56" s="2"/>
      <c r="M56" s="2"/>
      <c r="N56" s="2"/>
    </row>
    <row r="57" spans="1:14" s="1" customFormat="1" x14ac:dyDescent="0.25">
      <c r="D57" s="2"/>
      <c r="E57" s="2"/>
      <c r="F57"/>
      <c r="G57"/>
      <c r="H57"/>
      <c r="I57"/>
      <c r="J57"/>
      <c r="K57"/>
      <c r="L57" s="2"/>
      <c r="M57" s="2"/>
      <c r="N57" s="2"/>
    </row>
    <row r="58" spans="1:14" s="1" customFormat="1" x14ac:dyDescent="0.25">
      <c r="D58" s="2"/>
      <c r="E58" s="2"/>
      <c r="F58"/>
      <c r="G58"/>
      <c r="H58"/>
      <c r="I58"/>
      <c r="J58"/>
      <c r="K58"/>
      <c r="L58" s="2"/>
      <c r="M58" s="2"/>
      <c r="N58" s="2"/>
    </row>
    <row r="59" spans="1:14" s="1" customFormat="1" x14ac:dyDescent="0.25">
      <c r="D59" s="2"/>
      <c r="E59" s="2"/>
      <c r="F59"/>
      <c r="G59"/>
      <c r="H59"/>
      <c r="I59"/>
      <c r="J59"/>
      <c r="K59"/>
      <c r="L59" s="2"/>
      <c r="M59" s="2"/>
      <c r="N59" s="2"/>
    </row>
    <row r="60" spans="1:14" s="1" customFormat="1" x14ac:dyDescent="0.25">
      <c r="D60" s="2"/>
      <c r="E60" s="2"/>
      <c r="F60"/>
      <c r="G60"/>
      <c r="H60"/>
      <c r="I60"/>
      <c r="J60"/>
      <c r="K60"/>
      <c r="L60" s="2"/>
      <c r="M60" s="2"/>
      <c r="N60" s="2"/>
    </row>
    <row r="61" spans="1:14" s="1" customFormat="1" x14ac:dyDescent="0.25">
      <c r="D61" s="2"/>
      <c r="E61" s="2"/>
      <c r="F61"/>
      <c r="G61"/>
      <c r="H61"/>
      <c r="I61"/>
      <c r="J61"/>
      <c r="K61"/>
      <c r="L61" s="2"/>
      <c r="M61" s="2"/>
      <c r="N61" s="2"/>
    </row>
    <row r="62" spans="1:14" s="1" customFormat="1" x14ac:dyDescent="0.25">
      <c r="D62" s="2"/>
      <c r="E62" s="2"/>
      <c r="F62"/>
      <c r="G62"/>
      <c r="H62"/>
      <c r="I62"/>
      <c r="J62"/>
      <c r="K62"/>
      <c r="L62" s="2"/>
      <c r="M62" s="2"/>
      <c r="N62" s="2"/>
    </row>
    <row r="63" spans="1:14" s="1" customFormat="1" x14ac:dyDescent="0.25">
      <c r="D63" s="2"/>
      <c r="E63" s="2"/>
      <c r="F63"/>
      <c r="G63"/>
      <c r="H63"/>
      <c r="I63"/>
      <c r="J63"/>
      <c r="K63"/>
      <c r="L63" s="2"/>
      <c r="M63" s="2"/>
      <c r="N63" s="2"/>
    </row>
    <row r="64" spans="1:14" s="1" customFormat="1" x14ac:dyDescent="0.25">
      <c r="D64" s="2"/>
      <c r="E64" s="2"/>
      <c r="F64"/>
      <c r="G64"/>
      <c r="H64"/>
      <c r="I64"/>
      <c r="J64"/>
      <c r="K64"/>
      <c r="L64" s="2"/>
      <c r="M64" s="2"/>
      <c r="N64" s="2"/>
    </row>
    <row r="65" spans="4:14" s="1" customFormat="1" x14ac:dyDescent="0.25">
      <c r="D65" s="2"/>
      <c r="E65" s="2"/>
      <c r="F65"/>
      <c r="G65"/>
      <c r="H65"/>
      <c r="I65"/>
      <c r="J65"/>
      <c r="K65"/>
      <c r="L65" s="2"/>
      <c r="M65" s="2"/>
      <c r="N65" s="2"/>
    </row>
    <row r="66" spans="4:14" s="1" customFormat="1" x14ac:dyDescent="0.25">
      <c r="D66" s="2"/>
      <c r="E66" s="2"/>
      <c r="F66"/>
      <c r="G66"/>
      <c r="H66"/>
      <c r="I66"/>
      <c r="J66"/>
      <c r="K66"/>
      <c r="L66" s="2"/>
      <c r="M66" s="2"/>
      <c r="N66" s="2"/>
    </row>
    <row r="67" spans="4:14" s="1" customFormat="1" x14ac:dyDescent="0.25">
      <c r="D67" s="2"/>
      <c r="E67" s="2"/>
      <c r="F67"/>
      <c r="G67"/>
      <c r="H67"/>
      <c r="I67"/>
      <c r="J67"/>
      <c r="K67"/>
      <c r="L67" s="2"/>
      <c r="M67" s="2"/>
      <c r="N67" s="2"/>
    </row>
    <row r="68" spans="4:14" s="1" customFormat="1" x14ac:dyDescent="0.25">
      <c r="D68" s="2"/>
      <c r="E68" s="2"/>
      <c r="F68"/>
      <c r="G68"/>
      <c r="H68"/>
      <c r="I68"/>
      <c r="J68"/>
      <c r="K68"/>
      <c r="L68" s="2"/>
      <c r="M68" s="2"/>
      <c r="N68" s="2"/>
    </row>
    <row r="69" spans="4:14" s="1" customFormat="1" x14ac:dyDescent="0.25">
      <c r="D69" s="2"/>
      <c r="E69" s="2"/>
      <c r="F69"/>
      <c r="G69"/>
      <c r="H69"/>
      <c r="I69"/>
      <c r="J69"/>
      <c r="K69"/>
      <c r="L69" s="2"/>
      <c r="M69" s="2"/>
      <c r="N69" s="2"/>
    </row>
    <row r="70" spans="4:14" s="1" customFormat="1" x14ac:dyDescent="0.25">
      <c r="D70" s="2"/>
      <c r="E70" s="2"/>
      <c r="F70"/>
      <c r="G70"/>
      <c r="H70"/>
      <c r="I70"/>
      <c r="J70"/>
      <c r="K70"/>
      <c r="L70" s="2"/>
      <c r="M70" s="2"/>
      <c r="N70" s="2"/>
    </row>
    <row r="71" spans="4:14" s="1" customFormat="1" x14ac:dyDescent="0.25">
      <c r="D71" s="2"/>
      <c r="E71" s="2"/>
      <c r="F71"/>
      <c r="G71"/>
      <c r="H71"/>
      <c r="I71"/>
      <c r="J71"/>
      <c r="K71"/>
      <c r="L71" s="2"/>
      <c r="M71" s="2"/>
      <c r="N71" s="2"/>
    </row>
    <row r="72" spans="4:14" s="1" customFormat="1" x14ac:dyDescent="0.25">
      <c r="D72" s="2"/>
      <c r="E72" s="2"/>
      <c r="F72"/>
      <c r="G72"/>
      <c r="H72"/>
      <c r="I72"/>
      <c r="J72"/>
      <c r="K72"/>
      <c r="L72" s="2"/>
      <c r="M72" s="2"/>
      <c r="N72" s="2"/>
    </row>
    <row r="73" spans="4:14" s="1" customFormat="1" x14ac:dyDescent="0.25">
      <c r="D73" s="2"/>
      <c r="E73" s="2"/>
      <c r="F73"/>
      <c r="G73"/>
      <c r="H73"/>
      <c r="I73"/>
      <c r="J73"/>
      <c r="K73"/>
      <c r="L73" s="2"/>
      <c r="M73" s="2"/>
      <c r="N73" s="2"/>
    </row>
    <row r="74" spans="4:14" s="1" customFormat="1" x14ac:dyDescent="0.25">
      <c r="D74" s="2"/>
      <c r="E74" s="2"/>
      <c r="F74"/>
      <c r="G74"/>
      <c r="H74"/>
      <c r="I74"/>
      <c r="J74"/>
      <c r="K74"/>
      <c r="L74" s="2"/>
      <c r="M74" s="2"/>
      <c r="N74" s="2"/>
    </row>
    <row r="75" spans="4:14" s="1" customFormat="1" x14ac:dyDescent="0.25">
      <c r="D75" s="2"/>
      <c r="E75" s="2"/>
      <c r="F75"/>
      <c r="G75"/>
      <c r="H75"/>
      <c r="I75"/>
      <c r="J75"/>
      <c r="K75"/>
      <c r="L75" s="2"/>
      <c r="M75" s="2"/>
      <c r="N75" s="2"/>
    </row>
    <row r="76" spans="4:14" s="1" customFormat="1" x14ac:dyDescent="0.25">
      <c r="D76" s="2"/>
      <c r="E76" s="2"/>
      <c r="F76"/>
      <c r="G76"/>
      <c r="H76"/>
      <c r="I76"/>
      <c r="J76"/>
      <c r="K76"/>
      <c r="L76" s="2"/>
      <c r="M76" s="2"/>
      <c r="N76" s="2"/>
    </row>
    <row r="77" spans="4:14" s="1" customFormat="1" x14ac:dyDescent="0.25">
      <c r="D77" s="2"/>
      <c r="E77" s="2"/>
      <c r="F77"/>
      <c r="G77"/>
      <c r="H77"/>
      <c r="I77"/>
      <c r="J77"/>
      <c r="K77"/>
      <c r="L77" s="2"/>
      <c r="M77" s="2"/>
      <c r="N77" s="2"/>
    </row>
    <row r="78" spans="4:14" s="1" customFormat="1" x14ac:dyDescent="0.25">
      <c r="D78" s="2"/>
      <c r="E78" s="2"/>
      <c r="F78"/>
      <c r="G78"/>
      <c r="H78"/>
      <c r="I78"/>
      <c r="J78"/>
      <c r="K78"/>
      <c r="L78" s="2"/>
      <c r="M78" s="2"/>
      <c r="N78" s="2"/>
    </row>
    <row r="79" spans="4:14" s="1" customFormat="1" x14ac:dyDescent="0.25">
      <c r="D79" s="2"/>
      <c r="E79" s="2"/>
      <c r="F79"/>
      <c r="G79"/>
      <c r="H79"/>
      <c r="I79"/>
      <c r="J79"/>
      <c r="K79"/>
      <c r="L79" s="2"/>
      <c r="M79" s="2"/>
      <c r="N79" s="2"/>
    </row>
    <row r="80" spans="4:14" s="1" customFormat="1" x14ac:dyDescent="0.25">
      <c r="D80" s="2"/>
      <c r="E80" s="2"/>
      <c r="F80"/>
      <c r="G80"/>
      <c r="H80"/>
      <c r="I80"/>
      <c r="J80"/>
      <c r="K80"/>
      <c r="L80" s="2"/>
      <c r="M80" s="2"/>
      <c r="N80" s="2"/>
    </row>
  </sheetData>
  <sheetProtection selectLockedCells="1"/>
  <dataConsolidate/>
  <mergeCells count="38">
    <mergeCell ref="Q8:R8"/>
    <mergeCell ref="A4:E4"/>
    <mergeCell ref="H4:I4"/>
    <mergeCell ref="K4:N4"/>
    <mergeCell ref="Q4:R4"/>
    <mergeCell ref="B6:E6"/>
    <mergeCell ref="L6:O6"/>
    <mergeCell ref="B7:E7"/>
    <mergeCell ref="L7:O7"/>
    <mergeCell ref="B8:E8"/>
    <mergeCell ref="H8:I8"/>
    <mergeCell ref="L8:O8"/>
    <mergeCell ref="B9:E9"/>
    <mergeCell ref="L9:O9"/>
    <mergeCell ref="B10:E10"/>
    <mergeCell ref="L10:O10"/>
    <mergeCell ref="B11:E11"/>
    <mergeCell ref="L11:O11"/>
    <mergeCell ref="A13:C13"/>
    <mergeCell ref="F13:I13"/>
    <mergeCell ref="F14:G14"/>
    <mergeCell ref="H14:I14"/>
    <mergeCell ref="A15:C15"/>
    <mergeCell ref="D15:E15"/>
    <mergeCell ref="D18:E18"/>
    <mergeCell ref="D19:E20"/>
    <mergeCell ref="D21:G21"/>
    <mergeCell ref="D22:E23"/>
    <mergeCell ref="A16:C16"/>
    <mergeCell ref="D16:E16"/>
    <mergeCell ref="A17:C17"/>
    <mergeCell ref="D17:E17"/>
    <mergeCell ref="D28:E28"/>
    <mergeCell ref="F28:G28"/>
    <mergeCell ref="F26:G26"/>
    <mergeCell ref="H26:I26"/>
    <mergeCell ref="D27:E27"/>
    <mergeCell ref="F27:G27"/>
  </mergeCells>
  <pageMargins left="0.74803149606299213" right="0.74803149606299213" top="0.19685039370078741" bottom="0.19685039370078741" header="0.51181102362204722" footer="0.51181102362204722"/>
  <pageSetup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68"/>
  <sheetViews>
    <sheetView showGridLines="0" zoomScaleNormal="100" workbookViewId="0">
      <selection activeCell="I49" sqref="I49"/>
    </sheetView>
  </sheetViews>
  <sheetFormatPr defaultColWidth="11.453125" defaultRowHeight="12.5" x14ac:dyDescent="0.25"/>
  <cols>
    <col min="1" max="1" width="16.36328125" customWidth="1"/>
    <col min="2" max="2" width="9.54296875" style="1" bestFit="1" customWidth="1"/>
    <col min="3" max="3" width="6" style="1" customWidth="1"/>
    <col min="4" max="4" width="9.1796875" style="2" bestFit="1" customWidth="1"/>
    <col min="5" max="5" width="12.1796875" style="2" bestFit="1" customWidth="1"/>
    <col min="6" max="6" width="11.6328125" customWidth="1"/>
    <col min="7" max="7" width="5.36328125" customWidth="1"/>
    <col min="8" max="8" width="11.6328125" customWidth="1"/>
    <col min="9" max="9" width="5.36328125" customWidth="1"/>
    <col min="10" max="10" width="3.08984375" customWidth="1"/>
    <col min="11" max="11" width="16.36328125" customWidth="1"/>
    <col min="12" max="13" width="10.36328125" style="2" customWidth="1"/>
    <col min="14" max="14" width="11.6328125" style="2" customWidth="1"/>
    <col min="15" max="18" width="10.36328125" customWidth="1"/>
  </cols>
  <sheetData>
    <row r="1" spans="1:18" ht="12.75" customHeight="1" x14ac:dyDescent="0.25">
      <c r="B1"/>
      <c r="C1"/>
      <c r="D1"/>
      <c r="E1"/>
      <c r="L1"/>
      <c r="M1"/>
      <c r="N1"/>
    </row>
    <row r="2" spans="1:18" ht="23" x14ac:dyDescent="0.5">
      <c r="A2" s="4" t="s">
        <v>45</v>
      </c>
      <c r="K2" s="4"/>
      <c r="L2" s="1"/>
      <c r="M2" s="1"/>
    </row>
    <row r="3" spans="1:18" x14ac:dyDescent="0.25">
      <c r="L3" s="1"/>
      <c r="M3" s="1"/>
    </row>
    <row r="4" spans="1:18" ht="16" thickBot="1" x14ac:dyDescent="0.4">
      <c r="A4" s="179" t="s">
        <v>22</v>
      </c>
      <c r="B4" s="179"/>
      <c r="C4" s="179"/>
      <c r="D4" s="179"/>
      <c r="E4" s="179"/>
      <c r="H4" s="193" t="s">
        <v>50</v>
      </c>
      <c r="I4" s="193"/>
      <c r="J4" s="25"/>
      <c r="K4" s="206"/>
      <c r="L4" s="206"/>
      <c r="M4" s="206"/>
      <c r="N4" s="206"/>
      <c r="O4" s="7"/>
      <c r="Q4" s="193"/>
      <c r="R4" s="193"/>
    </row>
    <row r="5" spans="1:18" ht="12.75" customHeight="1" thickTop="1" x14ac:dyDescent="0.25">
      <c r="F5" s="26"/>
      <c r="G5" s="26"/>
      <c r="H5" s="32">
        <f>F15*F16</f>
        <v>5000</v>
      </c>
      <c r="I5" s="25" t="s">
        <v>23</v>
      </c>
      <c r="J5" s="25"/>
      <c r="L5" s="1"/>
      <c r="M5" s="1"/>
      <c r="O5" s="19"/>
      <c r="P5" s="19"/>
      <c r="Q5" s="41"/>
      <c r="R5" s="19"/>
    </row>
    <row r="6" spans="1:18" ht="12.75" customHeight="1" x14ac:dyDescent="0.3">
      <c r="A6" s="3" t="s">
        <v>12</v>
      </c>
      <c r="B6" s="194" t="str">
        <f>IF(INFORMATION!C17&gt;0,INFORMATION!C17," ")</f>
        <v xml:space="preserve"> </v>
      </c>
      <c r="C6" s="194"/>
      <c r="D6" s="194"/>
      <c r="E6" s="194"/>
      <c r="H6" s="32">
        <f>H15*H16</f>
        <v>0</v>
      </c>
      <c r="I6" s="33" t="s">
        <v>24</v>
      </c>
      <c r="J6" s="33"/>
      <c r="K6" s="3"/>
      <c r="L6" s="194"/>
      <c r="M6" s="194"/>
      <c r="N6" s="194"/>
      <c r="O6" s="194"/>
      <c r="P6" s="41"/>
      <c r="Q6" s="41"/>
      <c r="R6" s="42"/>
    </row>
    <row r="7" spans="1:18" ht="12.75" customHeight="1" x14ac:dyDescent="0.3">
      <c r="A7" s="3" t="s">
        <v>13</v>
      </c>
      <c r="B7" s="194" t="str">
        <f>IF(INFORMATION!C18&gt;0,INFORMATION!C18," ")</f>
        <v xml:space="preserve"> </v>
      </c>
      <c r="C7" s="194"/>
      <c r="D7" s="194"/>
      <c r="E7" s="194"/>
      <c r="H7" s="34">
        <f>IF(H6&gt;0,H6,H5*0.0929)</f>
        <v>464.5</v>
      </c>
      <c r="I7" s="33" t="s">
        <v>24</v>
      </c>
      <c r="J7" s="33"/>
      <c r="K7" s="3"/>
      <c r="L7" s="194"/>
      <c r="M7" s="194"/>
      <c r="N7" s="194"/>
      <c r="O7" s="194"/>
      <c r="P7" s="41"/>
      <c r="Q7" s="43"/>
      <c r="R7" s="42"/>
    </row>
    <row r="8" spans="1:18" ht="12.75" customHeight="1" x14ac:dyDescent="0.3">
      <c r="A8" s="3" t="s">
        <v>63</v>
      </c>
      <c r="B8" s="194" t="str">
        <f>IF(INFORMATION!C19&gt;0,INFORMATION!C19," ")</f>
        <v xml:space="preserve"> </v>
      </c>
      <c r="C8" s="194"/>
      <c r="D8" s="194"/>
      <c r="E8" s="194"/>
      <c r="H8" s="193" t="s">
        <v>62</v>
      </c>
      <c r="I8" s="193"/>
      <c r="J8" s="25"/>
      <c r="K8" s="3"/>
      <c r="L8" s="194"/>
      <c r="M8" s="194"/>
      <c r="N8" s="194"/>
      <c r="O8" s="194"/>
      <c r="P8" s="41"/>
      <c r="Q8" s="197"/>
      <c r="R8" s="197"/>
    </row>
    <row r="9" spans="1:18" ht="12.75" customHeight="1" x14ac:dyDescent="0.3">
      <c r="A9" s="3" t="s">
        <v>14</v>
      </c>
      <c r="B9" s="194" t="str">
        <f>IF(INFORMATION!C20&gt;0,INFORMATION!C20," ")</f>
        <v xml:space="preserve"> </v>
      </c>
      <c r="C9" s="194"/>
      <c r="D9" s="194"/>
      <c r="E9" s="194"/>
      <c r="H9" s="34">
        <f>F19-(F15*F16)</f>
        <v>8000</v>
      </c>
      <c r="I9" s="25" t="s">
        <v>23</v>
      </c>
      <c r="J9" s="25"/>
      <c r="K9" s="3"/>
      <c r="L9" s="194"/>
      <c r="M9" s="194"/>
      <c r="N9" s="194"/>
      <c r="O9" s="194"/>
      <c r="P9" s="41"/>
      <c r="Q9" s="43"/>
      <c r="R9" s="19"/>
    </row>
    <row r="10" spans="1:18" ht="12.75" customHeight="1" x14ac:dyDescent="0.3">
      <c r="A10" s="3" t="s">
        <v>64</v>
      </c>
      <c r="B10" s="194" t="str">
        <f>IF(INFORMATION!C21&gt;0,INFORMATION!C21," ")</f>
        <v xml:space="preserve"> </v>
      </c>
      <c r="C10" s="194"/>
      <c r="D10" s="194"/>
      <c r="E10" s="194"/>
      <c r="H10" s="32">
        <f>H19-(H15*H16)</f>
        <v>0</v>
      </c>
      <c r="I10" s="33" t="s">
        <v>24</v>
      </c>
      <c r="J10" s="33"/>
      <c r="K10" s="3"/>
      <c r="L10" s="194"/>
      <c r="M10" s="194"/>
      <c r="N10" s="194"/>
      <c r="O10" s="194"/>
      <c r="P10" s="41"/>
      <c r="Q10" s="41"/>
      <c r="R10" s="42"/>
    </row>
    <row r="11" spans="1:18" ht="12.75" customHeight="1" x14ac:dyDescent="0.3">
      <c r="A11" s="3" t="s">
        <v>65</v>
      </c>
      <c r="B11" s="194" t="str">
        <f>IF(INFORMATION!C22&gt;0,INFORMATION!C22," ")</f>
        <v xml:space="preserve"> </v>
      </c>
      <c r="C11" s="194"/>
      <c r="D11" s="194"/>
      <c r="E11" s="194"/>
      <c r="H11" s="34">
        <f>IF(H19&gt;0,H19,H9*0.0929)</f>
        <v>743.19999999999993</v>
      </c>
      <c r="I11" s="33" t="s">
        <v>24</v>
      </c>
      <c r="J11" s="33"/>
      <c r="K11" s="3"/>
      <c r="L11" s="194"/>
      <c r="M11" s="194"/>
      <c r="N11" s="194"/>
      <c r="O11" s="194"/>
      <c r="P11" s="41"/>
      <c r="Q11" s="43"/>
      <c r="R11" s="42"/>
    </row>
    <row r="12" spans="1:18" ht="12.75" customHeight="1" x14ac:dyDescent="0.25">
      <c r="F12" s="35"/>
      <c r="G12" s="35"/>
      <c r="L12" s="1"/>
      <c r="M12" s="1"/>
      <c r="O12" s="41"/>
      <c r="P12" s="41"/>
      <c r="Q12" s="41"/>
      <c r="R12" s="41"/>
    </row>
    <row r="13" spans="1:18" ht="16" thickBot="1" x14ac:dyDescent="0.4">
      <c r="A13" s="187" t="s">
        <v>84</v>
      </c>
      <c r="B13" s="187"/>
      <c r="C13" s="187"/>
      <c r="D13" s="37"/>
      <c r="E13" s="21"/>
      <c r="F13" s="195" t="s">
        <v>72</v>
      </c>
      <c r="G13" s="195"/>
      <c r="H13" s="195"/>
      <c r="I13" s="195"/>
      <c r="J13" s="21"/>
      <c r="L13"/>
      <c r="M13"/>
      <c r="N13"/>
    </row>
    <row r="14" spans="1:18" ht="12.75" customHeight="1" thickTop="1" x14ac:dyDescent="0.3">
      <c r="F14" s="188" t="s">
        <v>2</v>
      </c>
      <c r="G14" s="188"/>
      <c r="H14" s="189" t="s">
        <v>3</v>
      </c>
      <c r="I14" s="188"/>
      <c r="J14" s="6"/>
      <c r="L14"/>
      <c r="M14"/>
      <c r="N14"/>
    </row>
    <row r="15" spans="1:18" ht="12.75" customHeight="1" x14ac:dyDescent="0.3">
      <c r="A15" s="198"/>
      <c r="B15" s="183"/>
      <c r="C15" s="183"/>
      <c r="D15" s="175" t="s">
        <v>87</v>
      </c>
      <c r="E15" s="175"/>
      <c r="F15" s="109">
        <v>100</v>
      </c>
      <c r="G15" s="44"/>
      <c r="H15" s="89">
        <v>0</v>
      </c>
      <c r="I15" s="45"/>
      <c r="L15"/>
      <c r="M15"/>
      <c r="N15"/>
    </row>
    <row r="16" spans="1:18" ht="12.75" customHeight="1" x14ac:dyDescent="0.3">
      <c r="A16" s="182"/>
      <c r="B16" s="183"/>
      <c r="C16" s="183"/>
      <c r="D16" s="175" t="s">
        <v>1</v>
      </c>
      <c r="E16" s="175"/>
      <c r="F16" s="109">
        <v>50</v>
      </c>
      <c r="G16" s="44"/>
      <c r="H16" s="89">
        <v>0</v>
      </c>
      <c r="I16" s="45"/>
      <c r="L16"/>
      <c r="M16"/>
      <c r="N16"/>
    </row>
    <row r="17" spans="1:15" ht="12.75" customHeight="1" x14ac:dyDescent="0.3">
      <c r="A17" s="185"/>
      <c r="B17" s="185"/>
      <c r="C17" s="185"/>
      <c r="D17" s="175" t="s">
        <v>4</v>
      </c>
      <c r="E17" s="175"/>
      <c r="F17" s="109">
        <v>10</v>
      </c>
      <c r="G17" s="44"/>
      <c r="H17" s="89">
        <v>0</v>
      </c>
      <c r="I17" s="45"/>
      <c r="L17"/>
      <c r="M17"/>
      <c r="N17"/>
    </row>
    <row r="18" spans="1:15" ht="12.75" customHeight="1" x14ac:dyDescent="0.3">
      <c r="A18" s="1"/>
      <c r="D18" s="175" t="s">
        <v>7</v>
      </c>
      <c r="E18" s="175"/>
      <c r="F18" s="109">
        <v>1</v>
      </c>
      <c r="G18" s="44"/>
      <c r="H18" s="89">
        <v>0</v>
      </c>
      <c r="I18" s="45"/>
      <c r="L18"/>
      <c r="M18"/>
      <c r="N18"/>
    </row>
    <row r="19" spans="1:15" ht="12.75" customHeight="1" x14ac:dyDescent="0.3">
      <c r="A19" s="46"/>
      <c r="B19" s="47"/>
      <c r="D19" s="175" t="s">
        <v>60</v>
      </c>
      <c r="E19" s="175"/>
      <c r="F19" s="41">
        <f>((((F15*2)+(F16*2))*F17)+(2*F15*F16))*F18</f>
        <v>13000</v>
      </c>
      <c r="G19" s="19" t="s">
        <v>9</v>
      </c>
      <c r="H19">
        <f>((((H15*2)+(H16*2))*H17)+(2*H15*H16))*H18</f>
        <v>0</v>
      </c>
      <c r="I19" s="42" t="s">
        <v>10</v>
      </c>
      <c r="J19" s="48"/>
      <c r="L19"/>
      <c r="M19"/>
      <c r="N19"/>
    </row>
    <row r="20" spans="1:15" ht="12.75" customHeight="1" x14ac:dyDescent="0.3">
      <c r="A20" s="1"/>
      <c r="D20" s="175"/>
      <c r="E20" s="175"/>
      <c r="G20" s="19" t="s">
        <v>8</v>
      </c>
      <c r="H20" s="90">
        <f>IF(H19&gt;0,H19,F19*0.0929)</f>
        <v>1207.7</v>
      </c>
      <c r="I20" s="49" t="s">
        <v>10</v>
      </c>
      <c r="J20" s="50"/>
      <c r="L20"/>
      <c r="M20"/>
      <c r="N20"/>
    </row>
    <row r="21" spans="1:15" ht="12.75" customHeight="1" x14ac:dyDescent="0.3">
      <c r="A21" s="46"/>
      <c r="B21" s="51"/>
      <c r="C21" s="6"/>
      <c r="D21" s="191" t="s">
        <v>73</v>
      </c>
      <c r="E21" s="191"/>
      <c r="F21" s="191"/>
      <c r="G21" s="191"/>
      <c r="H21" s="43">
        <f>H11</f>
        <v>743.19999999999993</v>
      </c>
      <c r="I21" s="42" t="s">
        <v>10</v>
      </c>
      <c r="J21" s="42"/>
      <c r="L21"/>
      <c r="M21"/>
      <c r="N21"/>
    </row>
    <row r="22" spans="1:15" ht="12.75" customHeight="1" x14ac:dyDescent="0.25">
      <c r="D22" s="175" t="s">
        <v>33</v>
      </c>
      <c r="E22" s="175"/>
      <c r="F22" s="41">
        <f>F15*F16*F17*F18</f>
        <v>50000</v>
      </c>
      <c r="G22" s="19" t="s">
        <v>17</v>
      </c>
      <c r="H22">
        <f>H15*H16*H17*H18</f>
        <v>0</v>
      </c>
      <c r="I22" s="42" t="s">
        <v>11</v>
      </c>
      <c r="J22" s="48"/>
      <c r="L22"/>
      <c r="M22"/>
      <c r="N22"/>
    </row>
    <row r="23" spans="1:15" ht="12.75" customHeight="1" x14ac:dyDescent="0.3">
      <c r="D23" s="175"/>
      <c r="E23" s="175"/>
      <c r="F23" s="35"/>
      <c r="G23" s="19" t="s">
        <v>8</v>
      </c>
      <c r="H23" s="90">
        <f>IF(H22&gt;0,H22,F22*0.0283)</f>
        <v>1415</v>
      </c>
      <c r="I23" s="49" t="s">
        <v>11</v>
      </c>
      <c r="J23" s="50"/>
      <c r="L23"/>
      <c r="M23"/>
      <c r="N23"/>
    </row>
    <row r="24" spans="1:15" ht="12.75" customHeight="1" x14ac:dyDescent="0.25">
      <c r="D24"/>
      <c r="E24"/>
      <c r="F24" s="35"/>
      <c r="G24" s="2"/>
      <c r="L24"/>
      <c r="M24"/>
      <c r="N24"/>
    </row>
    <row r="25" spans="1:15" ht="13.5" customHeight="1" x14ac:dyDescent="0.25">
      <c r="A25" s="117" t="s">
        <v>96</v>
      </c>
      <c r="B25" s="118"/>
      <c r="C25" s="118"/>
      <c r="D25" s="117"/>
      <c r="E25" s="118"/>
      <c r="F25" s="118"/>
      <c r="G25" s="117"/>
      <c r="H25" s="117"/>
      <c r="I25" s="117"/>
      <c r="J25" s="118"/>
      <c r="K25" s="117"/>
      <c r="L25" s="117"/>
      <c r="M25" s="117"/>
      <c r="N25" s="117"/>
      <c r="O25" s="117"/>
    </row>
    <row r="26" spans="1:15" x14ac:dyDescent="0.25">
      <c r="A26" s="115"/>
      <c r="B26" s="116"/>
      <c r="C26" s="116"/>
      <c r="D26" s="115"/>
      <c r="E26" s="116"/>
      <c r="F26" s="116"/>
      <c r="G26" s="115"/>
      <c r="H26" s="115"/>
      <c r="I26" s="115"/>
      <c r="J26" s="116"/>
      <c r="K26" s="115"/>
      <c r="L26" s="115"/>
      <c r="M26" s="115"/>
      <c r="N26" s="115"/>
      <c r="O26" s="117"/>
    </row>
    <row r="27" spans="1:15" ht="13.5" customHeight="1" x14ac:dyDescent="0.25">
      <c r="A27" s="115"/>
      <c r="B27" s="116"/>
      <c r="C27" s="116"/>
      <c r="D27" s="115"/>
      <c r="E27" s="116"/>
      <c r="F27" s="116"/>
      <c r="G27" s="115"/>
      <c r="H27" s="115"/>
      <c r="I27" s="115"/>
      <c r="J27" s="116"/>
      <c r="K27" s="115"/>
      <c r="L27" s="115"/>
      <c r="M27" s="115"/>
      <c r="N27" s="115"/>
      <c r="O27" s="117"/>
    </row>
    <row r="28" spans="1:15" ht="13.5" customHeight="1" x14ac:dyDescent="0.25">
      <c r="A28" s="117" t="s">
        <v>97</v>
      </c>
      <c r="B28" s="118"/>
      <c r="C28" s="118" t="s">
        <v>98</v>
      </c>
      <c r="D28" s="117"/>
      <c r="E28" s="118"/>
      <c r="F28" s="118"/>
      <c r="G28" s="117" t="s">
        <v>99</v>
      </c>
      <c r="H28" s="117"/>
      <c r="I28" s="117"/>
      <c r="J28" s="118"/>
      <c r="K28" s="119"/>
      <c r="L28" s="118" t="s">
        <v>100</v>
      </c>
      <c r="M28" s="117"/>
      <c r="N28" s="117"/>
      <c r="O28" s="117"/>
    </row>
    <row r="29" spans="1:15" ht="13.5" customHeight="1" x14ac:dyDescent="0.25">
      <c r="A29" s="117"/>
      <c r="B29" s="118"/>
      <c r="C29" s="118"/>
      <c r="D29" s="117"/>
      <c r="E29" s="118"/>
      <c r="F29" s="118"/>
      <c r="G29" s="117"/>
      <c r="H29" s="117"/>
      <c r="I29" s="117"/>
      <c r="J29" s="118"/>
      <c r="K29" s="117"/>
      <c r="L29" s="117"/>
      <c r="M29" s="117"/>
      <c r="N29" s="117"/>
      <c r="O29" s="117"/>
    </row>
    <row r="30" spans="1:15" x14ac:dyDescent="0.25">
      <c r="A30" s="136">
        <f>F15</f>
        <v>100</v>
      </c>
      <c r="B30" s="118" t="s">
        <v>101</v>
      </c>
      <c r="C30" s="136">
        <f>F16</f>
        <v>50</v>
      </c>
      <c r="D30" s="118" t="s">
        <v>102</v>
      </c>
      <c r="E30" s="118">
        <v>2</v>
      </c>
      <c r="F30" s="118" t="s">
        <v>103</v>
      </c>
      <c r="G30" s="139">
        <f>(A30+C30)*2</f>
        <v>300</v>
      </c>
      <c r="H30" s="115"/>
      <c r="I30" s="129">
        <v>30</v>
      </c>
      <c r="J30" s="118" t="s">
        <v>103</v>
      </c>
      <c r="K30" s="115"/>
      <c r="L30" s="137">
        <f>G30/I30</f>
        <v>10</v>
      </c>
      <c r="M30" s="115"/>
      <c r="N30" s="115"/>
      <c r="O30" s="117"/>
    </row>
    <row r="31" spans="1:15" x14ac:dyDescent="0.25">
      <c r="A31" s="115"/>
      <c r="B31" s="116"/>
      <c r="C31" s="116"/>
      <c r="D31" s="115"/>
      <c r="E31" s="116"/>
      <c r="F31" s="116"/>
      <c r="H31" s="115" t="s">
        <v>117</v>
      </c>
      <c r="I31" s="115"/>
      <c r="J31" s="116"/>
      <c r="K31" s="115"/>
      <c r="L31" s="115"/>
      <c r="M31" s="115"/>
      <c r="N31" s="115"/>
      <c r="O31" s="117"/>
    </row>
    <row r="32" spans="1:15" x14ac:dyDescent="0.25">
      <c r="A32" s="117" t="s">
        <v>104</v>
      </c>
      <c r="B32" s="118"/>
      <c r="C32" s="118"/>
      <c r="D32" s="117"/>
      <c r="E32" s="118"/>
      <c r="F32" s="118"/>
      <c r="G32" s="117"/>
      <c r="H32" s="128"/>
      <c r="I32" s="117"/>
      <c r="J32" s="118"/>
      <c r="K32" s="117"/>
      <c r="L32" s="117"/>
      <c r="M32" s="117"/>
      <c r="N32" s="117"/>
      <c r="O32" s="117"/>
    </row>
    <row r="33" spans="1:15" x14ac:dyDescent="0.25">
      <c r="A33" s="115"/>
      <c r="B33" s="116"/>
      <c r="C33" s="116"/>
      <c r="D33" s="115"/>
      <c r="E33" s="116"/>
      <c r="F33" s="116"/>
      <c r="G33" s="115"/>
      <c r="H33" s="115"/>
      <c r="I33" s="115"/>
      <c r="J33" s="116"/>
      <c r="K33" s="115"/>
      <c r="L33" s="115"/>
      <c r="M33" s="115"/>
      <c r="N33" s="115"/>
      <c r="O33" s="117"/>
    </row>
    <row r="34" spans="1:15" x14ac:dyDescent="0.25">
      <c r="A34" s="118" t="s">
        <v>105</v>
      </c>
      <c r="B34" s="118"/>
      <c r="C34" s="124" t="s">
        <v>106</v>
      </c>
      <c r="D34" s="117"/>
      <c r="E34" s="118"/>
      <c r="F34" s="118"/>
      <c r="G34" s="119"/>
      <c r="H34" s="119"/>
      <c r="I34" s="118" t="s">
        <v>107</v>
      </c>
      <c r="J34" s="118"/>
      <c r="K34" s="117"/>
      <c r="L34" s="117"/>
      <c r="M34" s="117"/>
      <c r="N34" s="117"/>
      <c r="O34" s="117"/>
    </row>
    <row r="35" spans="1:15" x14ac:dyDescent="0.25">
      <c r="A35" s="115"/>
      <c r="B35" s="116"/>
      <c r="C35" s="116"/>
      <c r="D35" s="115"/>
      <c r="E35" s="116"/>
      <c r="F35" s="116"/>
      <c r="G35" s="115"/>
      <c r="H35" s="115"/>
      <c r="I35" s="115"/>
      <c r="J35" s="116"/>
      <c r="K35" s="115"/>
      <c r="L35" s="115"/>
      <c r="M35" s="115"/>
      <c r="N35" s="115"/>
      <c r="O35" s="117"/>
    </row>
    <row r="36" spans="1:15" x14ac:dyDescent="0.25">
      <c r="A36" s="138">
        <f>L30</f>
        <v>10</v>
      </c>
      <c r="B36" s="118" t="s">
        <v>108</v>
      </c>
      <c r="C36" s="120">
        <v>12</v>
      </c>
      <c r="D36" s="122" t="s">
        <v>109</v>
      </c>
      <c r="E36" s="125"/>
      <c r="F36" s="116"/>
      <c r="G36" s="124" t="s">
        <v>108</v>
      </c>
      <c r="H36" s="124"/>
      <c r="I36" s="120">
        <v>40</v>
      </c>
      <c r="J36" s="118" t="s">
        <v>103</v>
      </c>
      <c r="K36" s="122">
        <f>A36*C36*I36</f>
        <v>4800</v>
      </c>
      <c r="L36" s="117" t="s">
        <v>110</v>
      </c>
      <c r="M36" s="117" t="s">
        <v>103</v>
      </c>
      <c r="N36" s="121">
        <f>K36/1000</f>
        <v>4.8</v>
      </c>
      <c r="O36" s="117" t="s">
        <v>111</v>
      </c>
    </row>
    <row r="37" spans="1:15" x14ac:dyDescent="0.25">
      <c r="A37" s="115"/>
      <c r="B37" s="116"/>
      <c r="C37" s="116"/>
      <c r="D37" s="115"/>
      <c r="E37" s="116"/>
      <c r="F37" s="116"/>
      <c r="G37" s="115"/>
      <c r="H37" s="115"/>
      <c r="I37" s="115"/>
      <c r="J37" s="116"/>
      <c r="K37" s="115"/>
      <c r="L37" s="115"/>
      <c r="M37" s="115"/>
      <c r="N37" s="115"/>
      <c r="O37" s="117"/>
    </row>
    <row r="38" spans="1:15" x14ac:dyDescent="0.25">
      <c r="A38" s="117" t="s">
        <v>112</v>
      </c>
      <c r="B38" s="118"/>
      <c r="C38" s="118"/>
      <c r="D38" s="117"/>
      <c r="E38" s="118"/>
      <c r="F38" s="118"/>
      <c r="G38" s="117"/>
      <c r="H38" s="117"/>
      <c r="I38" s="117"/>
      <c r="J38" s="118"/>
      <c r="K38" s="117"/>
      <c r="L38" s="117"/>
      <c r="M38" s="117"/>
      <c r="N38" s="117"/>
      <c r="O38" s="117"/>
    </row>
    <row r="39" spans="1:15" x14ac:dyDescent="0.25">
      <c r="A39" s="115"/>
      <c r="B39" s="116"/>
      <c r="C39" s="116"/>
      <c r="D39" s="115"/>
      <c r="E39" s="116"/>
      <c r="F39" s="116"/>
      <c r="G39" s="115"/>
      <c r="H39" s="115"/>
      <c r="I39" s="115"/>
      <c r="J39" s="116"/>
      <c r="K39" s="115"/>
      <c r="L39" s="115"/>
      <c r="M39" s="115"/>
      <c r="N39" s="115"/>
      <c r="O39" s="117"/>
    </row>
    <row r="40" spans="1:15" x14ac:dyDescent="0.25">
      <c r="A40" s="117" t="s">
        <v>97</v>
      </c>
      <c r="B40" s="116"/>
      <c r="C40" s="117" t="s">
        <v>113</v>
      </c>
      <c r="D40" s="115"/>
      <c r="E40" s="124"/>
      <c r="F40" s="116"/>
      <c r="G40" s="118" t="s">
        <v>107</v>
      </c>
      <c r="H40" s="118"/>
      <c r="I40" s="124" t="s">
        <v>106</v>
      </c>
      <c r="J40" s="116"/>
      <c r="K40" s="115"/>
      <c r="L40" s="115"/>
      <c r="M40" s="115"/>
      <c r="N40" s="115"/>
      <c r="O40" s="117"/>
    </row>
    <row r="41" spans="1:15" x14ac:dyDescent="0.25">
      <c r="A41" s="115"/>
      <c r="B41" s="116"/>
      <c r="C41" s="116"/>
      <c r="D41" s="115"/>
      <c r="E41" s="116"/>
      <c r="F41" s="116"/>
      <c r="G41" s="115"/>
      <c r="H41" s="115"/>
      <c r="I41" s="115"/>
      <c r="J41" s="116"/>
      <c r="K41" s="115"/>
      <c r="L41" s="115"/>
      <c r="M41" s="115"/>
      <c r="N41" s="115"/>
      <c r="O41" s="117"/>
    </row>
    <row r="42" spans="1:15" x14ac:dyDescent="0.25">
      <c r="A42" s="136">
        <f>F15</f>
        <v>100</v>
      </c>
      <c r="B42" s="118" t="s">
        <v>114</v>
      </c>
      <c r="C42" s="126">
        <v>10</v>
      </c>
      <c r="D42" s="117" t="s">
        <v>103</v>
      </c>
      <c r="E42" s="123">
        <f>A42/C42</f>
        <v>10</v>
      </c>
      <c r="F42" s="116" t="s">
        <v>108</v>
      </c>
      <c r="G42" s="120">
        <v>40</v>
      </c>
      <c r="H42" s="125" t="s">
        <v>108</v>
      </c>
      <c r="I42" s="120">
        <v>2</v>
      </c>
      <c r="J42" s="116"/>
      <c r="K42" s="122">
        <f>E42*G42*I42</f>
        <v>800</v>
      </c>
      <c r="L42" s="117" t="s">
        <v>110</v>
      </c>
      <c r="M42" s="117" t="s">
        <v>103</v>
      </c>
      <c r="N42" s="121">
        <f>K42/1000</f>
        <v>0.8</v>
      </c>
      <c r="O42" s="117" t="s">
        <v>111</v>
      </c>
    </row>
    <row r="43" spans="1:15" s="1" customFormat="1" x14ac:dyDescent="0.25">
      <c r="A43" s="115"/>
      <c r="B43" s="116"/>
      <c r="C43" s="116"/>
      <c r="D43" s="115"/>
      <c r="E43" s="116"/>
      <c r="F43" s="116"/>
      <c r="G43" s="116"/>
      <c r="H43" s="116"/>
      <c r="I43" s="115"/>
      <c r="J43" s="116"/>
      <c r="K43" s="115"/>
      <c r="L43" s="115"/>
      <c r="M43" s="115"/>
      <c r="N43" s="115"/>
      <c r="O43" s="117"/>
    </row>
    <row r="44" spans="1:15" s="1" customFormat="1" x14ac:dyDescent="0.25">
      <c r="A44" s="117" t="s">
        <v>115</v>
      </c>
      <c r="B44" s="116"/>
      <c r="C44" s="116"/>
      <c r="D44" s="115"/>
      <c r="E44" s="116"/>
      <c r="F44" s="116"/>
      <c r="G44" s="116"/>
      <c r="H44" s="116"/>
      <c r="I44" s="115"/>
      <c r="J44" s="116"/>
      <c r="K44" s="115"/>
      <c r="L44" s="115"/>
      <c r="M44" s="115"/>
      <c r="N44" s="115"/>
      <c r="O44" s="117"/>
    </row>
    <row r="45" spans="1:15" s="1" customFormat="1" x14ac:dyDescent="0.25">
      <c r="A45" s="115"/>
      <c r="B45" s="116"/>
      <c r="C45" s="116"/>
      <c r="D45" s="115"/>
      <c r="E45" s="116"/>
      <c r="F45" s="116"/>
      <c r="G45" s="116"/>
      <c r="H45" s="116"/>
      <c r="I45" s="115"/>
      <c r="J45" s="116"/>
      <c r="K45" s="115"/>
      <c r="L45" s="115"/>
      <c r="M45" s="115"/>
      <c r="N45" s="115"/>
      <c r="O45" s="117"/>
    </row>
    <row r="46" spans="1:15" s="1" customFormat="1" x14ac:dyDescent="0.25">
      <c r="A46" s="118" t="s">
        <v>105</v>
      </c>
      <c r="B46" s="118"/>
      <c r="C46" s="118" t="s">
        <v>107</v>
      </c>
      <c r="D46" s="117"/>
      <c r="E46" s="118"/>
      <c r="F46" s="118"/>
      <c r="G46" s="118"/>
      <c r="H46" s="118"/>
      <c r="I46" s="124" t="s">
        <v>106</v>
      </c>
      <c r="J46" s="118"/>
      <c r="K46" s="117"/>
      <c r="L46" s="117"/>
      <c r="M46" s="117"/>
      <c r="N46" s="117"/>
      <c r="O46" s="117"/>
    </row>
    <row r="47" spans="1:15" s="1" customFormat="1" x14ac:dyDescent="0.25">
      <c r="A47" s="115"/>
      <c r="B47" s="116"/>
      <c r="C47" s="116"/>
      <c r="D47" s="115"/>
      <c r="E47" s="116"/>
      <c r="F47" s="116"/>
      <c r="G47" s="116"/>
      <c r="H47" s="116"/>
      <c r="I47" s="115"/>
      <c r="J47" s="116"/>
      <c r="K47" s="115"/>
      <c r="L47" s="115"/>
      <c r="M47" s="115"/>
      <c r="N47" s="115"/>
      <c r="O47" s="117"/>
    </row>
    <row r="48" spans="1:15" s="1" customFormat="1" x14ac:dyDescent="0.25">
      <c r="A48" s="120">
        <v>100</v>
      </c>
      <c r="B48" s="118" t="s">
        <v>108</v>
      </c>
      <c r="C48" s="126">
        <v>20</v>
      </c>
      <c r="D48" s="117" t="s">
        <v>103</v>
      </c>
      <c r="E48" s="123">
        <f>A48*20</f>
        <v>2000</v>
      </c>
      <c r="F48" s="116"/>
      <c r="G48" s="124" t="s">
        <v>108</v>
      </c>
      <c r="H48" s="124"/>
      <c r="I48" s="120">
        <v>12</v>
      </c>
      <c r="J48" s="116" t="s">
        <v>103</v>
      </c>
      <c r="K48" s="122">
        <f>E48*I48</f>
        <v>24000</v>
      </c>
      <c r="L48" s="117" t="s">
        <v>110</v>
      </c>
      <c r="M48" s="117" t="s">
        <v>103</v>
      </c>
      <c r="N48" s="121">
        <f>K48/1000</f>
        <v>24</v>
      </c>
      <c r="O48" s="117" t="s">
        <v>111</v>
      </c>
    </row>
    <row r="49" spans="1:15" s="1" customFormat="1" x14ac:dyDescent="0.25">
      <c r="A49" s="115"/>
      <c r="B49" s="116"/>
      <c r="C49" s="116"/>
      <c r="D49" s="115"/>
      <c r="E49" s="116"/>
      <c r="F49" s="116"/>
      <c r="G49" s="115"/>
      <c r="H49" s="115"/>
      <c r="I49" s="115"/>
      <c r="J49" s="116"/>
      <c r="K49" s="115"/>
      <c r="L49" s="115"/>
      <c r="M49" s="115"/>
      <c r="N49" s="115"/>
      <c r="O49" s="117"/>
    </row>
    <row r="50" spans="1:15" s="1" customFormat="1" x14ac:dyDescent="0.25">
      <c r="A50" s="115"/>
      <c r="B50" s="116"/>
      <c r="C50" s="116"/>
      <c r="D50" s="115"/>
      <c r="E50" s="116"/>
      <c r="F50" s="116"/>
      <c r="G50" s="115"/>
      <c r="H50" s="115"/>
      <c r="I50" s="115"/>
      <c r="J50" s="116"/>
      <c r="K50" s="115"/>
      <c r="L50" s="115"/>
      <c r="M50" s="115"/>
      <c r="N50" s="115"/>
      <c r="O50" s="117"/>
    </row>
    <row r="51" spans="1:15" s="1" customFormat="1" x14ac:dyDescent="0.25">
      <c r="A51" s="115"/>
      <c r="B51" s="116"/>
      <c r="C51" s="116"/>
      <c r="D51" s="115"/>
      <c r="E51" s="116"/>
      <c r="F51" s="116"/>
      <c r="G51" s="115"/>
      <c r="H51" s="115"/>
      <c r="I51" s="115"/>
      <c r="J51" s="116"/>
      <c r="K51" s="115"/>
      <c r="L51" s="115"/>
      <c r="M51" s="127" t="s">
        <v>116</v>
      </c>
      <c r="N51" s="121">
        <f>N36+N42+N48</f>
        <v>29.6</v>
      </c>
      <c r="O51" s="117" t="s">
        <v>111</v>
      </c>
    </row>
    <row r="52" spans="1:15" s="1" customFormat="1" x14ac:dyDescent="0.25">
      <c r="A52" s="115"/>
      <c r="B52" s="116"/>
      <c r="C52" s="116"/>
      <c r="D52" s="130" t="s">
        <v>123</v>
      </c>
      <c r="E52" s="116"/>
      <c r="F52" s="116"/>
      <c r="G52" s="115"/>
      <c r="H52" s="115"/>
      <c r="I52" s="115"/>
      <c r="J52" s="116"/>
      <c r="K52" s="115"/>
      <c r="L52" s="115"/>
      <c r="M52" s="117"/>
      <c r="N52" s="115"/>
      <c r="O52" s="117"/>
    </row>
    <row r="53" spans="1:15" s="1" customFormat="1" x14ac:dyDescent="0.25">
      <c r="A53" s="131" t="s">
        <v>118</v>
      </c>
      <c r="B53" s="132" t="s">
        <v>124</v>
      </c>
      <c r="C53" s="132" t="s">
        <v>125</v>
      </c>
      <c r="D53" s="132" t="s">
        <v>126</v>
      </c>
      <c r="E53" s="132" t="s">
        <v>127</v>
      </c>
      <c r="F53" s="132" t="s">
        <v>128</v>
      </c>
      <c r="G53" s="132" t="s">
        <v>129</v>
      </c>
      <c r="H53" s="115"/>
      <c r="I53" s="115"/>
      <c r="J53" s="116"/>
      <c r="K53" s="115"/>
      <c r="L53" s="115"/>
      <c r="M53" s="115"/>
      <c r="N53" s="115"/>
      <c r="O53" s="117"/>
    </row>
    <row r="54" spans="1:15" s="1" customFormat="1" x14ac:dyDescent="0.25">
      <c r="A54" s="133" t="s">
        <v>119</v>
      </c>
      <c r="B54" s="134" t="s">
        <v>66</v>
      </c>
      <c r="C54" s="135">
        <f>N51/1.2</f>
        <v>24.666666666666668</v>
      </c>
      <c r="D54" s="134" t="s">
        <v>66</v>
      </c>
      <c r="E54" s="135">
        <f>N51/5</f>
        <v>5.92</v>
      </c>
      <c r="F54" s="134" t="s">
        <v>66</v>
      </c>
      <c r="G54" s="135">
        <f>N51/10</f>
        <v>2.96</v>
      </c>
      <c r="H54"/>
      <c r="I54"/>
      <c r="J54"/>
      <c r="K54"/>
      <c r="L54" s="2"/>
      <c r="M54" s="2"/>
      <c r="N54" s="2"/>
    </row>
    <row r="55" spans="1:15" s="1" customFormat="1" x14ac:dyDescent="0.25">
      <c r="A55" s="133" t="s">
        <v>120</v>
      </c>
      <c r="B55" s="135">
        <f>N51/0.6</f>
        <v>49.333333333333336</v>
      </c>
      <c r="C55" s="134" t="s">
        <v>66</v>
      </c>
      <c r="D55" s="135">
        <f>N51/3.5</f>
        <v>8.4571428571428573</v>
      </c>
      <c r="E55" s="134" t="s">
        <v>66</v>
      </c>
      <c r="F55" s="135">
        <f>N51/7</f>
        <v>4.2285714285714286</v>
      </c>
      <c r="G55" s="134" t="s">
        <v>66</v>
      </c>
      <c r="H55"/>
      <c r="I55"/>
      <c r="J55"/>
      <c r="K55"/>
      <c r="L55" s="2"/>
      <c r="M55" s="2"/>
      <c r="N55" s="2"/>
    </row>
    <row r="56" spans="1:15" s="1" customFormat="1" x14ac:dyDescent="0.25">
      <c r="A56" s="133" t="s">
        <v>121</v>
      </c>
      <c r="B56" s="135">
        <f>N51/0.6</f>
        <v>49.333333333333336</v>
      </c>
      <c r="C56" s="134" t="s">
        <v>66</v>
      </c>
      <c r="D56" s="135">
        <f>N51/3.5</f>
        <v>8.4571428571428573</v>
      </c>
      <c r="E56" s="134" t="s">
        <v>66</v>
      </c>
      <c r="F56" s="135">
        <f>N51/7</f>
        <v>4.2285714285714286</v>
      </c>
      <c r="G56" s="134" t="s">
        <v>66</v>
      </c>
      <c r="H56"/>
      <c r="I56"/>
      <c r="J56"/>
      <c r="K56"/>
      <c r="L56" s="2"/>
      <c r="M56" s="2"/>
      <c r="N56" s="2"/>
    </row>
    <row r="57" spans="1:15" s="1" customFormat="1" x14ac:dyDescent="0.25">
      <c r="A57" s="133" t="s">
        <v>122</v>
      </c>
      <c r="B57" s="134" t="s">
        <v>66</v>
      </c>
      <c r="C57" s="135">
        <f>N51/1.2</f>
        <v>24.666666666666668</v>
      </c>
      <c r="D57" s="134" t="s">
        <v>66</v>
      </c>
      <c r="E57" s="135">
        <f>N51/5</f>
        <v>5.92</v>
      </c>
      <c r="F57" s="134" t="s">
        <v>66</v>
      </c>
      <c r="G57" s="135">
        <f>N51/10</f>
        <v>2.96</v>
      </c>
      <c r="H57"/>
      <c r="I57"/>
      <c r="J57"/>
      <c r="K57"/>
      <c r="L57" s="2"/>
      <c r="M57" s="2"/>
      <c r="N57" s="2"/>
    </row>
    <row r="58" spans="1:15" s="1" customFormat="1" x14ac:dyDescent="0.25">
      <c r="D58" s="2"/>
      <c r="E58" s="2"/>
      <c r="F58"/>
      <c r="G58"/>
      <c r="H58"/>
      <c r="I58"/>
      <c r="J58"/>
      <c r="K58"/>
      <c r="L58" s="2"/>
      <c r="M58" s="2"/>
      <c r="N58" s="2"/>
    </row>
    <row r="59" spans="1:15" s="1" customFormat="1" x14ac:dyDescent="0.25">
      <c r="D59" s="2"/>
      <c r="E59" s="2"/>
      <c r="F59"/>
      <c r="G59"/>
      <c r="H59"/>
      <c r="I59"/>
      <c r="J59"/>
      <c r="K59"/>
      <c r="L59" s="2"/>
      <c r="M59" s="2"/>
      <c r="N59" s="2"/>
    </row>
    <row r="60" spans="1:15" s="1" customFormat="1" x14ac:dyDescent="0.25">
      <c r="D60" s="2"/>
      <c r="E60" s="2"/>
      <c r="F60"/>
      <c r="G60"/>
      <c r="H60"/>
      <c r="I60"/>
      <c r="J60"/>
      <c r="K60"/>
      <c r="L60" s="2"/>
      <c r="M60" s="2"/>
      <c r="N60" s="2"/>
    </row>
    <row r="61" spans="1:15" s="1" customFormat="1" x14ac:dyDescent="0.25">
      <c r="D61" s="2"/>
      <c r="E61" s="2"/>
      <c r="F61"/>
      <c r="G61"/>
      <c r="H61"/>
      <c r="I61"/>
      <c r="J61"/>
      <c r="K61"/>
      <c r="L61" s="2"/>
      <c r="M61" s="2"/>
      <c r="N61" s="2"/>
    </row>
    <row r="62" spans="1:15" s="1" customFormat="1" x14ac:dyDescent="0.25">
      <c r="D62" s="2"/>
      <c r="E62" s="2"/>
      <c r="F62"/>
      <c r="G62"/>
      <c r="H62"/>
      <c r="I62"/>
      <c r="J62"/>
      <c r="K62"/>
      <c r="L62" s="2"/>
      <c r="M62" s="2"/>
      <c r="N62" s="2"/>
    </row>
    <row r="63" spans="1:15" s="1" customFormat="1" x14ac:dyDescent="0.25">
      <c r="D63" s="2"/>
      <c r="E63" s="2"/>
      <c r="F63"/>
      <c r="G63"/>
      <c r="H63"/>
      <c r="I63"/>
      <c r="J63"/>
      <c r="K63"/>
      <c r="L63" s="2"/>
      <c r="M63" s="2"/>
      <c r="N63" s="2"/>
    </row>
    <row r="64" spans="1:15" s="1" customFormat="1" x14ac:dyDescent="0.25">
      <c r="D64" s="2"/>
      <c r="E64" s="2"/>
      <c r="F64"/>
      <c r="G64"/>
      <c r="H64"/>
      <c r="I64"/>
      <c r="J64"/>
      <c r="K64"/>
      <c r="L64" s="2"/>
      <c r="M64" s="2"/>
      <c r="N64" s="2"/>
    </row>
    <row r="65" spans="4:14" s="1" customFormat="1" x14ac:dyDescent="0.25">
      <c r="D65" s="2"/>
      <c r="E65" s="2"/>
      <c r="F65"/>
      <c r="G65"/>
      <c r="H65"/>
      <c r="I65"/>
      <c r="J65"/>
      <c r="K65"/>
      <c r="L65" s="2"/>
      <c r="M65" s="2"/>
      <c r="N65" s="2"/>
    </row>
    <row r="66" spans="4:14" s="1" customFormat="1" x14ac:dyDescent="0.25">
      <c r="D66" s="2"/>
      <c r="E66" s="2"/>
      <c r="F66"/>
      <c r="G66"/>
      <c r="H66"/>
      <c r="I66"/>
      <c r="J66"/>
      <c r="K66"/>
      <c r="L66" s="2"/>
      <c r="M66" s="2"/>
      <c r="N66" s="2"/>
    </row>
    <row r="67" spans="4:14" s="1" customFormat="1" x14ac:dyDescent="0.25">
      <c r="D67" s="2"/>
      <c r="E67" s="2"/>
      <c r="F67"/>
      <c r="G67"/>
      <c r="H67"/>
      <c r="I67"/>
      <c r="J67"/>
      <c r="K67"/>
      <c r="L67" s="2"/>
      <c r="M67" s="2"/>
      <c r="N67" s="2"/>
    </row>
    <row r="68" spans="4:14" s="1" customFormat="1" x14ac:dyDescent="0.25">
      <c r="D68" s="2"/>
      <c r="E68" s="2"/>
      <c r="F68"/>
      <c r="G68"/>
      <c r="H68"/>
      <c r="I68"/>
      <c r="J68"/>
      <c r="K68"/>
      <c r="L68" s="2"/>
      <c r="M68" s="2"/>
      <c r="N68" s="2"/>
    </row>
  </sheetData>
  <sheetProtection selectLockedCells="1"/>
  <dataConsolidate/>
  <mergeCells count="32">
    <mergeCell ref="D21:G21"/>
    <mergeCell ref="D22:E23"/>
    <mergeCell ref="A16:C16"/>
    <mergeCell ref="D16:E16"/>
    <mergeCell ref="A17:C17"/>
    <mergeCell ref="D17:E17"/>
    <mergeCell ref="D18:E18"/>
    <mergeCell ref="D19:E20"/>
    <mergeCell ref="A13:C13"/>
    <mergeCell ref="F13:I13"/>
    <mergeCell ref="F14:G14"/>
    <mergeCell ref="H14:I14"/>
    <mergeCell ref="A15:C15"/>
    <mergeCell ref="D15:E15"/>
    <mergeCell ref="B9:E9"/>
    <mergeCell ref="L9:O9"/>
    <mergeCell ref="B10:E10"/>
    <mergeCell ref="L10:O10"/>
    <mergeCell ref="B11:E11"/>
    <mergeCell ref="L11:O11"/>
    <mergeCell ref="Q8:R8"/>
    <mergeCell ref="A4:E4"/>
    <mergeCell ref="H4:I4"/>
    <mergeCell ref="K4:N4"/>
    <mergeCell ref="Q4:R4"/>
    <mergeCell ref="B6:E6"/>
    <mergeCell ref="L6:O6"/>
    <mergeCell ref="B7:E7"/>
    <mergeCell ref="L7:O7"/>
    <mergeCell ref="B8:E8"/>
    <mergeCell ref="H8:I8"/>
    <mergeCell ref="L8:O8"/>
  </mergeCells>
  <dataValidations count="1">
    <dataValidation type="list" allowBlank="1" showInputMessage="1" showErrorMessage="1" sqref="I30" xr:uid="{00000000-0002-0000-0400-000000000000}">
      <formula1>"10,15,20,25,30,35,40,45,50,100+$I$30"</formula1>
    </dataValidation>
  </dataValidations>
  <pageMargins left="0.74803149606299213" right="0.74803149606299213" top="0.19685039370078741" bottom="0.19685039370078741" header="0.51181102362204722" footer="0.51181102362204722"/>
  <pageSetup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INFORMATION</vt:lpstr>
      <vt:lpstr>Livestock</vt:lpstr>
      <vt:lpstr>Water Line</vt:lpstr>
      <vt:lpstr>Insecticides</vt:lpstr>
      <vt:lpstr>Rodenticides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VETOQUINOL</dc:creator>
  <cp:lastModifiedBy>ARAUJO Vincent</cp:lastModifiedBy>
  <cp:lastPrinted>2015-10-21T18:42:22Z</cp:lastPrinted>
  <dcterms:created xsi:type="dcterms:W3CDTF">2003-06-18T15:23:12Z</dcterms:created>
  <dcterms:modified xsi:type="dcterms:W3CDTF">2023-11-17T15:56:42Z</dcterms:modified>
</cp:coreProperties>
</file>